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tiff" ContentType="image/tiff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5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6.xml" ContentType="application/vnd.openxmlformats-officedocument.drawing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gach\Documents\ContinuousAllSMB BTS ContiChrom\"/>
    </mc:Choice>
  </mc:AlternateContent>
  <xr:revisionPtr revIDLastSave="0" documentId="13_ncr:1_{769D5FDB-D0ED-4649-B3B2-37BF84C7EC8A}" xr6:coauthVersionLast="45" xr6:coauthVersionMax="45" xr10:uidLastSave="{00000000-0000-0000-0000-000000000000}"/>
  <bookViews>
    <workbookView xWindow="-110" yWindow="-110" windowWidth="19420" windowHeight="10420" tabRatio="889" firstSheet="1" activeTab="1" xr2:uid="{00000000-000D-0000-FFFF-FFFF00000000}"/>
  </bookViews>
  <sheets>
    <sheet name="Settings" sheetId="1" state="hidden" r:id="rId1"/>
    <sheet name="MAIN PAGE" sheetId="2" r:id="rId2"/>
    <sheet name="Minimise Cost" sheetId="3" r:id="rId3"/>
    <sheet name="Reduce Process Time" sheetId="5" r:id="rId4"/>
    <sheet name="Minimise Cost - Result" sheetId="4" r:id="rId5"/>
    <sheet name="Reduce Process Time - Result" sheetId="6" r:id="rId6"/>
    <sheet name="Notes" sheetId="7" r:id="rId7"/>
  </sheets>
  <definedNames>
    <definedName name="abc">Settings!$K$5:$L$10</definedName>
    <definedName name="efg">Settings!$M$3:$N$8</definedName>
    <definedName name="qr">Settings!$I$1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E22" i="1" l="1"/>
  <c r="AF22" i="1" s="1"/>
  <c r="AG22" i="1" s="1"/>
  <c r="AE21" i="1"/>
  <c r="AF21" i="1" s="1"/>
  <c r="AG21" i="1" s="1"/>
  <c r="U22" i="1"/>
  <c r="V22" i="1" s="1"/>
  <c r="W22" i="1" s="1"/>
  <c r="U21" i="1"/>
  <c r="V21" i="1" s="1"/>
  <c r="W21" i="1" s="1"/>
  <c r="U19" i="1" l="1"/>
  <c r="U18" i="1"/>
  <c r="U15" i="1"/>
  <c r="U12" i="1"/>
  <c r="U9" i="1"/>
  <c r="U6" i="1"/>
  <c r="V19" i="1" l="1"/>
  <c r="W19" i="1" s="1"/>
  <c r="V18" i="1"/>
  <c r="W18" i="1" s="1"/>
  <c r="S16" i="1"/>
  <c r="V15" i="1"/>
  <c r="W15" i="1" s="1"/>
  <c r="S15" i="1"/>
  <c r="S13" i="1"/>
  <c r="U13" i="1" s="1"/>
  <c r="V13" i="1" s="1"/>
  <c r="W13" i="1" s="1"/>
  <c r="V12" i="1"/>
  <c r="W12" i="1" s="1"/>
  <c r="S12" i="1"/>
  <c r="S10" i="1"/>
  <c r="U10" i="1" s="1"/>
  <c r="V10" i="1" s="1"/>
  <c r="W10" i="1" s="1"/>
  <c r="V9" i="1"/>
  <c r="W9" i="1" s="1"/>
  <c r="S9" i="1"/>
  <c r="S7" i="1"/>
  <c r="U7" i="1" s="1"/>
  <c r="V7" i="1" s="1"/>
  <c r="W7" i="1" s="1"/>
  <c r="V6" i="1"/>
  <c r="W6" i="1" s="1"/>
  <c r="S6" i="1"/>
  <c r="U16" i="1" l="1"/>
  <c r="V16" i="1" s="1"/>
  <c r="W16" i="1" s="1"/>
  <c r="N8" i="1"/>
  <c r="O67" i="1" l="1"/>
  <c r="N67" i="1"/>
  <c r="M69" i="1"/>
  <c r="M70" i="1"/>
  <c r="M68" i="1"/>
  <c r="O60" i="1"/>
  <c r="N60" i="1"/>
  <c r="M62" i="1"/>
  <c r="M63" i="1"/>
  <c r="M61" i="1"/>
  <c r="M52" i="1" l="1"/>
  <c r="M49" i="1"/>
  <c r="AE6" i="1" l="1"/>
  <c r="AF6" i="1" s="1"/>
  <c r="AG6" i="1" s="1"/>
  <c r="AE19" i="1"/>
  <c r="AF19" i="1" s="1"/>
  <c r="AG19" i="1" s="1"/>
  <c r="AE18" i="1"/>
  <c r="AF18" i="1" s="1"/>
  <c r="AG18" i="1" s="1"/>
  <c r="AE15" i="1"/>
  <c r="AF15" i="1" s="1"/>
  <c r="AG15" i="1" s="1"/>
  <c r="AE12" i="1"/>
  <c r="AF12" i="1" s="1"/>
  <c r="AG12" i="1" s="1"/>
  <c r="AE9" i="1"/>
  <c r="AF9" i="1" s="1"/>
  <c r="AG9" i="1" s="1"/>
  <c r="AC16" i="1"/>
  <c r="AE16" i="1" s="1"/>
  <c r="AC15" i="1"/>
  <c r="AC13" i="1"/>
  <c r="AE13" i="1" s="1"/>
  <c r="AF13" i="1" s="1"/>
  <c r="AG13" i="1" s="1"/>
  <c r="AC12" i="1"/>
  <c r="AC10" i="1"/>
  <c r="AE10" i="1" s="1"/>
  <c r="AC9" i="1"/>
  <c r="AC7" i="1"/>
  <c r="AE7" i="1" s="1"/>
  <c r="AF7" i="1" s="1"/>
  <c r="AG7" i="1" s="1"/>
  <c r="AC6" i="1"/>
  <c r="AF16" i="1" l="1"/>
  <c r="AG16" i="1" s="1"/>
  <c r="AF10" i="1"/>
  <c r="AG10" i="1" s="1"/>
  <c r="N39" i="1"/>
  <c r="N6" i="1" l="1"/>
  <c r="K42" i="1"/>
  <c r="K36" i="1"/>
  <c r="N18" i="1"/>
  <c r="N7" i="1"/>
  <c r="N5" i="1"/>
  <c r="N12" i="1" s="1"/>
  <c r="K9" i="1"/>
  <c r="K6" i="1"/>
  <c r="K8" i="1" s="1"/>
  <c r="K5" i="1"/>
  <c r="K11" i="1" s="1"/>
  <c r="N13" i="1" l="1"/>
  <c r="N14" i="1"/>
  <c r="AB25" i="1" s="1"/>
  <c r="N9" i="1"/>
  <c r="N10" i="1" s="1"/>
  <c r="N15" i="1"/>
  <c r="N11" i="1"/>
  <c r="K12" i="1"/>
  <c r="K10" i="1"/>
  <c r="N22" i="1" l="1"/>
  <c r="AB24" i="1"/>
  <c r="AA28" i="1" s="1"/>
  <c r="K13" i="1"/>
  <c r="N16" i="1"/>
  <c r="N17" i="1"/>
  <c r="N19" i="1" s="1"/>
  <c r="AA32" i="1" l="1"/>
  <c r="N27" i="1"/>
  <c r="N29" i="1" s="1"/>
  <c r="D8" i="6" s="1"/>
  <c r="O62" i="1" s="1"/>
  <c r="N32" i="1"/>
  <c r="D9" i="6" s="1"/>
  <c r="O63" i="1" s="1"/>
  <c r="N24" i="1"/>
  <c r="D7" i="6" s="1"/>
  <c r="O61" i="1" s="1"/>
  <c r="N21" i="1"/>
  <c r="N31" i="1" s="1"/>
  <c r="B9" i="6" s="1"/>
  <c r="N63" i="1" s="1"/>
  <c r="K15" i="1"/>
  <c r="AM3" i="1" l="1"/>
  <c r="AL3" i="1"/>
  <c r="K16" i="1"/>
  <c r="D7" i="4" s="1"/>
  <c r="O68" i="1" s="1"/>
  <c r="N34" i="1"/>
  <c r="N49" i="1" s="1"/>
  <c r="N37" i="1"/>
  <c r="N38" i="1" s="1"/>
  <c r="N26" i="1"/>
  <c r="N28" i="1" s="1"/>
  <c r="B8" i="6" s="1"/>
  <c r="N62" i="1" s="1"/>
  <c r="N23" i="1"/>
  <c r="B7" i="6" s="1"/>
  <c r="N61" i="1" s="1"/>
  <c r="N35" i="1"/>
  <c r="N53" i="1" s="1"/>
  <c r="K18" i="1"/>
  <c r="S24" i="1" s="1"/>
  <c r="K31" i="1"/>
  <c r="B9" i="4" s="1"/>
  <c r="N70" i="1" s="1"/>
  <c r="K26" i="1"/>
  <c r="K28" i="1" s="1"/>
  <c r="B8" i="4" s="1"/>
  <c r="N69" i="1" s="1"/>
  <c r="B7" i="4" l="1"/>
  <c r="N68" i="1" s="1"/>
  <c r="K7" i="1"/>
  <c r="K19" i="1" s="1"/>
  <c r="S25" i="1" s="1"/>
  <c r="Q28" i="1" s="1"/>
  <c r="K20" i="1"/>
  <c r="K21" i="1" s="1"/>
  <c r="K27" i="1" s="1"/>
  <c r="AL2" i="1" l="1"/>
  <c r="AM2" i="1"/>
  <c r="AA30" i="1"/>
  <c r="K34" i="1"/>
  <c r="K22" i="1"/>
  <c r="K23" i="1"/>
  <c r="H20" i="1"/>
  <c r="H16" i="1"/>
  <c r="H12" i="1"/>
  <c r="H7" i="1"/>
  <c r="H3" i="1"/>
  <c r="C20" i="1"/>
  <c r="C16" i="1"/>
  <c r="C12" i="1"/>
  <c r="C7" i="1"/>
  <c r="C3" i="1"/>
  <c r="K29" i="1" l="1"/>
  <c r="D8" i="4" s="1"/>
  <c r="O69" i="1" s="1"/>
  <c r="K35" i="1"/>
  <c r="K24" i="1"/>
  <c r="K32" i="1" s="1"/>
  <c r="K40" i="1" s="1"/>
  <c r="K41" i="1" s="1"/>
  <c r="K38" i="1"/>
  <c r="D9" i="4" l="1"/>
  <c r="O70" i="1" s="1"/>
</calcChain>
</file>

<file path=xl/sharedStrings.xml><?xml version="1.0" encoding="utf-8"?>
<sst xmlns="http://schemas.openxmlformats.org/spreadsheetml/2006/main" count="254" uniqueCount="159">
  <si>
    <t>Minimize my Protein A (resin) cost</t>
  </si>
  <si>
    <t>(Keep my current resin volume)</t>
  </si>
  <si>
    <t xml:space="preserve">Enter your column diameter </t>
  </si>
  <si>
    <t>Enter your resin bed height</t>
  </si>
  <si>
    <t>cm</t>
  </si>
  <si>
    <t>Enter your column load</t>
  </si>
  <si>
    <t>$/L</t>
  </si>
  <si>
    <t>Enter buffer cost</t>
  </si>
  <si>
    <t>Enter linear velocity(feed)</t>
  </si>
  <si>
    <t>Enter linear velocity(process)</t>
  </si>
  <si>
    <t>Enter the titer</t>
  </si>
  <si>
    <t>g/L</t>
  </si>
  <si>
    <t>%</t>
  </si>
  <si>
    <t>Batch Process</t>
  </si>
  <si>
    <t>Congratulations!</t>
  </si>
  <si>
    <t>Continuous Process</t>
  </si>
  <si>
    <t>Throughput  (g/h)</t>
  </si>
  <si>
    <t>Buffer Consumption (L/g protein)</t>
  </si>
  <si>
    <t>`</t>
  </si>
  <si>
    <t>Powered by</t>
  </si>
  <si>
    <t>Enter the typical yield</t>
  </si>
  <si>
    <t>Minimise Cost</t>
  </si>
  <si>
    <t>Reduce Process Time</t>
  </si>
  <si>
    <t>batch buffer flow rate b39</t>
  </si>
  <si>
    <t>buffer V b45</t>
  </si>
  <si>
    <t>batch feed flow rate b38</t>
  </si>
  <si>
    <t>load per batch cycle b36</t>
  </si>
  <si>
    <t>batch cycle time b46</t>
  </si>
  <si>
    <t>area conti b33</t>
  </si>
  <si>
    <t>CV conti b34</t>
  </si>
  <si>
    <t>CV batch b31</t>
  </si>
  <si>
    <t>buffer savings</t>
  </si>
  <si>
    <t>CV batch b26</t>
  </si>
  <si>
    <t>load per batch cycle b31</t>
  </si>
  <si>
    <t>area conti b28</t>
  </si>
  <si>
    <t>batch feed flow rate b33</t>
  </si>
  <si>
    <t>batch buffer flow rate b34</t>
  </si>
  <si>
    <t>conti feed flow rate b35</t>
  </si>
  <si>
    <t>conti cycle time b46</t>
  </si>
  <si>
    <t>conti buffer consumption per cycle b47</t>
  </si>
  <si>
    <t>at</t>
  </si>
  <si>
    <r>
      <t>g/L</t>
    </r>
    <r>
      <rPr>
        <vertAlign val="subscript"/>
        <sz val="14"/>
        <color theme="1" tint="0.14999847407452621"/>
        <rFont val="Calibri"/>
        <family val="2"/>
        <scheme val="minor"/>
      </rPr>
      <t>resin</t>
    </r>
  </si>
  <si>
    <r>
      <t>g/L</t>
    </r>
    <r>
      <rPr>
        <vertAlign val="subscript"/>
        <sz val="14"/>
        <color theme="2" tint="-0.749992370372631"/>
        <rFont val="Calibri"/>
        <family val="2"/>
        <scheme val="minor"/>
      </rPr>
      <t>resin</t>
    </r>
  </si>
  <si>
    <t>Enter Protein A resin cost</t>
  </si>
  <si>
    <t>area batch b30</t>
  </si>
  <si>
    <t>Calculations</t>
  </si>
  <si>
    <t>load CVs b37</t>
  </si>
  <si>
    <t>Through put kg/d c11 &amp; f11</t>
  </si>
  <si>
    <t>through put g/h c12&amp; f12</t>
  </si>
  <si>
    <t>Productivity kg/d c13</t>
  </si>
  <si>
    <t>Productivity kg/d f13</t>
  </si>
  <si>
    <t>Productivity g/h c14</t>
  </si>
  <si>
    <t>Productivity g/h f14</t>
  </si>
  <si>
    <t>buffer consumption c15</t>
  </si>
  <si>
    <t>conti cycle time b51</t>
  </si>
  <si>
    <t>conti buffer consumption per cycle b52</t>
  </si>
  <si>
    <t>conti buffer consumption per day b53</t>
  </si>
  <si>
    <t>buffer consumpption f15</t>
  </si>
  <si>
    <t>equals to</t>
  </si>
  <si>
    <t>Improvement in Productivity</t>
  </si>
  <si>
    <t>buffer savings f26</t>
  </si>
  <si>
    <t xml:space="preserve"> twin thruogh out (process one)</t>
  </si>
  <si>
    <t>twin packing (process two)</t>
  </si>
  <si>
    <t>area batch b25</t>
  </si>
  <si>
    <t>CV conti b29</t>
  </si>
  <si>
    <t>load CVs b32</t>
  </si>
  <si>
    <t>conti buffer flow rate b36</t>
  </si>
  <si>
    <t>Buffer V b40</t>
  </si>
  <si>
    <t>bathc cycle time b41</t>
  </si>
  <si>
    <t>conti buffer cnsumption per day b48</t>
  </si>
  <si>
    <t>through put kg/d c11</t>
  </si>
  <si>
    <t>through put kg/d f11</t>
  </si>
  <si>
    <t>through put g/h c12</t>
  </si>
  <si>
    <t>through put g/h f12</t>
  </si>
  <si>
    <t>buffer consumption f15</t>
  </si>
  <si>
    <t>% reduction in buffer consumption</t>
  </si>
  <si>
    <t xml:space="preserve">System Flow rate range </t>
  </si>
  <si>
    <t>Column size</t>
  </si>
  <si>
    <t xml:space="preserve">Enter the typical yield </t>
  </si>
  <si>
    <t>**Click here for Assumptions and Disclaimer</t>
  </si>
  <si>
    <t xml:space="preserve">The bed heights of the two columns used for the continuous process are each ½ the bed height of the batch column.
</t>
  </si>
  <si>
    <t xml:space="preserve">When estimating Protein A use, throughput (g/h) is the same for both the batch and continuous processes.
</t>
  </si>
  <si>
    <t xml:space="preserve">When estimating process time, the same column ID (cm) is used for both the batch and continuous processes.
</t>
  </si>
  <si>
    <t>Disclaimer:</t>
  </si>
  <si>
    <t>Estimates based on assumptions.  Your results for an actual process may vary.</t>
  </si>
  <si>
    <t>System / Model</t>
  </si>
  <si>
    <t>Skid Range</t>
  </si>
  <si>
    <t>Column diameter range *</t>
  </si>
  <si>
    <t>Feed flow rate range</t>
  </si>
  <si>
    <t>Feed volume per day</t>
  </si>
  <si>
    <t>Product recovered</t>
  </si>
  <si>
    <t>Buffer   per day</t>
  </si>
  <si>
    <t>[L/min]</t>
  </si>
  <si>
    <t xml:space="preserve">[cm] </t>
  </si>
  <si>
    <t xml:space="preserve">[L /d] </t>
  </si>
  <si>
    <t>[kg/d]</t>
  </si>
  <si>
    <t xml:space="preserve"> [L/d]</t>
  </si>
  <si>
    <t>ContiChrom CUBE 30</t>
  </si>
  <si>
    <t>Minimum</t>
  </si>
  <si>
    <t>Maximum</t>
  </si>
  <si>
    <t>ContiChrom CUBE 100</t>
  </si>
  <si>
    <t>* For Minimizing Cost</t>
  </si>
  <si>
    <t>* For Minimizing time</t>
  </si>
  <si>
    <t>*Calculations - DO NOT DELETE</t>
  </si>
  <si>
    <t>Total</t>
  </si>
  <si>
    <t>The assumptions used and calculations herein are subject to change without notice.</t>
  </si>
  <si>
    <t xml:space="preserve">file and / or website version and the material in either form (including without limitation the text, computer code, artwork, </t>
  </si>
  <si>
    <t xml:space="preserve"> makes no representations or warranties in relation to the technical information derived from the use of this tool.</t>
  </si>
  <si>
    <t>Reduce Time</t>
  </si>
  <si>
    <t>Reduce Cost</t>
  </si>
  <si>
    <t>Want to know what your process would look like at a larger scale?</t>
  </si>
  <si>
    <t xml:space="preserve">We’ll do the projection for free – contact us at 
</t>
  </si>
  <si>
    <t xml:space="preserve">You may wish to have inputs which differ from those we used in this tool. </t>
  </si>
  <si>
    <t xml:space="preserve">We would be happy to send you results using your inputs. Contact </t>
  </si>
  <si>
    <t>700 mL/min</t>
  </si>
  <si>
    <t>2.4 L/min</t>
  </si>
  <si>
    <t>The results based on this tool cannot be construed as a guarantee of performance.</t>
  </si>
  <si>
    <t>reduced process time</t>
  </si>
  <si>
    <t>Minimize cost</t>
  </si>
  <si>
    <t>cm/h</t>
  </si>
  <si>
    <t>Productivity (g/L resin/h)</t>
  </si>
  <si>
    <t>8 – 45 cm</t>
  </si>
  <si>
    <t>5 – 20 cm</t>
  </si>
  <si>
    <t>2.5 – 10 cm</t>
  </si>
  <si>
    <t>We have rental systems available to confirm the outcome on your specific molecule.</t>
  </si>
  <si>
    <t>conti feed flow rate b40</t>
  </si>
  <si>
    <t>conti buffer flow rate b41</t>
  </si>
  <si>
    <t xml:space="preserve">% Protein </t>
  </si>
  <si>
    <t>increase in Productivity</t>
  </si>
  <si>
    <t>10 L/min</t>
  </si>
  <si>
    <r>
      <t>with a</t>
    </r>
    <r>
      <rPr>
        <b/>
        <sz val="24"/>
        <color rgb="FF0072BC"/>
        <rFont val="Calibri"/>
        <family val="2"/>
        <scheme val="minor"/>
      </rPr>
      <t xml:space="preserve"> 33%</t>
    </r>
    <r>
      <rPr>
        <sz val="14"/>
        <color rgb="FF002060"/>
        <rFont val="Calibri"/>
        <family val="2"/>
        <scheme val="minor"/>
      </rPr>
      <t xml:space="preserve">  decrease in buffer consumption</t>
    </r>
  </si>
  <si>
    <t>20 L/min</t>
  </si>
  <si>
    <t>15 - 60 cm</t>
  </si>
  <si>
    <t>info@ymcpt.com</t>
  </si>
  <si>
    <t>photographs, images, music, audio material, video material and audio-visual material on this website) is owned by YMC.</t>
  </si>
  <si>
    <t xml:space="preserve">The technical information in this tool is provided “as is” without any representations or warranties, express or implied. YMC </t>
  </si>
  <si>
    <t>(Similar process time to my current batch)</t>
  </si>
  <si>
    <t>Increase my process productivity (reduce process time)</t>
  </si>
  <si>
    <t>(Keep similar amount of resin)</t>
  </si>
  <si>
    <t>ContiChrom Twin Capture, twin-column continuous LPLC, engineered for simplicity.</t>
  </si>
  <si>
    <t>Assumptions used for estimations</t>
  </si>
  <si>
    <t xml:space="preserve">Loading (linear velocity of feed) for the continuous process is 1.3x the batch process.
</t>
  </si>
  <si>
    <t xml:space="preserve">Compare performance of your current batch capture process to a twin-column continuous capture pocess </t>
  </si>
  <si>
    <t>here.</t>
  </si>
  <si>
    <t>ContiChrom Twin Capture, a twin-column continuous LPLC technology, engineered for simplicity.</t>
  </si>
  <si>
    <t xml:space="preserve">Want to know what your process would look like scaled with a twin-column system @100kg? 500kg? </t>
  </si>
  <si>
    <t xml:space="preserve">   Take a tour of our TWIN Capture technology. Video walk-through of major components </t>
  </si>
  <si>
    <t>Twin Capture 100</t>
  </si>
  <si>
    <t>Twin Capture  300</t>
  </si>
  <si>
    <t>Twin Capture 500</t>
  </si>
  <si>
    <t>Twin Capture 1000</t>
  </si>
  <si>
    <t>The YMC logo, Contichrom, CaptureSMB and EcoPrime are registered marks of YMC or YMC companies.</t>
  </si>
  <si>
    <r>
      <rPr>
        <b/>
        <sz val="14"/>
        <rFont val="Calibri"/>
        <family val="2"/>
        <scheme val="minor"/>
      </rPr>
      <t>Copyright Notice:</t>
    </r>
    <r>
      <rPr>
        <sz val="14"/>
        <rFont val="Calibri"/>
        <family val="2"/>
        <scheme val="minor"/>
      </rPr>
      <t xml:space="preserve"> Copyright © 2020 YMC . All rights reserved. The copyright of this tool as stand-alone </t>
    </r>
  </si>
  <si>
    <r>
      <t>59%</t>
    </r>
    <r>
      <rPr>
        <b/>
        <sz val="14"/>
        <color rgb="FF002060"/>
        <rFont val="Calibri"/>
        <family val="2"/>
        <scheme val="minor"/>
      </rPr>
      <t xml:space="preserve"> </t>
    </r>
    <r>
      <rPr>
        <sz val="14"/>
        <color rgb="FF002060"/>
        <rFont val="Calibri"/>
        <family val="2"/>
        <scheme val="minor"/>
      </rPr>
      <t xml:space="preserve">  Protein A resin reduction which corresponds to resin savings of   </t>
    </r>
    <r>
      <rPr>
        <b/>
        <sz val="24"/>
        <color rgb="FF0072BC"/>
        <rFont val="Calibri"/>
        <family val="2"/>
        <scheme val="minor"/>
      </rPr>
      <t xml:space="preserve">$52,252 </t>
    </r>
    <r>
      <rPr>
        <sz val="14"/>
        <color rgb="FF002060"/>
        <rFont val="Calibri"/>
        <family val="2"/>
        <scheme val="minor"/>
      </rPr>
      <t xml:space="preserve"> at $14,000/L resin cost</t>
    </r>
  </si>
  <si>
    <r>
      <t xml:space="preserve">   It has a maximum flow rate of</t>
    </r>
    <r>
      <rPr>
        <b/>
        <sz val="18"/>
        <color rgb="FF203764"/>
        <rFont val="Calibri"/>
        <family val="2"/>
        <scheme val="minor"/>
      </rPr>
      <t xml:space="preserve">  2.4 L/min</t>
    </r>
  </si>
  <si>
    <r>
      <t>Based on your input parameters, we recommend our</t>
    </r>
    <r>
      <rPr>
        <b/>
        <sz val="18"/>
        <color rgb="FF0072BC"/>
        <rFont val="Calibri"/>
        <family val="2"/>
        <scheme val="minor"/>
      </rPr>
      <t xml:space="preserve">  Twin Capture  300 </t>
    </r>
    <r>
      <rPr>
        <sz val="14"/>
        <color rgb="FF002060"/>
        <rFont val="Calibri"/>
        <family val="2"/>
        <scheme val="minor"/>
      </rPr>
      <t xml:space="preserve">  system to reduces your resin costs.</t>
    </r>
  </si>
  <si>
    <r>
      <t xml:space="preserve">   and column ID range of</t>
    </r>
    <r>
      <rPr>
        <b/>
        <sz val="18"/>
        <color rgb="FF203764"/>
        <rFont val="Calibri"/>
        <family val="2"/>
        <scheme val="minor"/>
      </rPr>
      <t xml:space="preserve">  5 – 20 cm</t>
    </r>
  </si>
  <si>
    <r>
      <t>2.7 x</t>
    </r>
    <r>
      <rPr>
        <b/>
        <sz val="14"/>
        <color rgb="FF002060"/>
        <rFont val="Calibri"/>
        <family val="2"/>
        <scheme val="minor"/>
      </rPr>
      <t xml:space="preserve">  </t>
    </r>
    <r>
      <rPr>
        <sz val="14"/>
        <color rgb="FF002060"/>
        <rFont val="Calibri"/>
        <family val="2"/>
        <scheme val="minor"/>
      </rPr>
      <t>productivity increase for the continuous capture process when compared to the traditional batch process</t>
    </r>
  </si>
  <si>
    <r>
      <t>Based on your input parameters, we recommend our</t>
    </r>
    <r>
      <rPr>
        <b/>
        <sz val="18"/>
        <color rgb="FF0072BC"/>
        <rFont val="Calibri"/>
        <family val="2"/>
        <scheme val="minor"/>
      </rPr>
      <t xml:space="preserve">  Twin Capture  300 </t>
    </r>
    <r>
      <rPr>
        <sz val="14"/>
        <color rgb="FF002060"/>
        <rFont val="Calibri"/>
        <family val="2"/>
        <scheme val="minor"/>
      </rPr>
      <t xml:space="preserve">  system to reduces your process time.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</si>
</sst>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">
    <numFmt numFmtId="43" formatCode="_(* #,##0.00_);_(* \(#,##0.00\);_(* &quot;-&quot;??_);_(@_)"/>
    <numFmt numFmtId="164" formatCode="&quot;$&quot;#,##0"/>
    <numFmt numFmtId="165" formatCode="_(* #,##0_);_(* \(#,##0\);_(* &quot;-&quot;??_);_(@_)"/>
    <numFmt numFmtId="166" formatCode="_(* #,##0.0_);_(* \(#,##0.0\);_(* &quot;-&quot;??_);_(@_)"/>
    <numFmt numFmtId="167" formatCode="0.00000"/>
    <numFmt numFmtId="168" formatCode="0.0"/>
    <numFmt numFmtId="169" formatCode="0.0000"/>
    <numFmt numFmtId="170" formatCode="0.000"/>
    <numFmt numFmtId="171" formatCode="#,##0.000"/>
    <numFmt numFmtId="172" formatCode="#,##0.0"/>
    <numFmt numFmtId="173" formatCode="0.0000000"/>
  </numFmts>
  <fonts count="4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rgb="FFEE7100"/>
      <name val="Arial"/>
      <family val="2"/>
    </font>
    <font>
      <b/>
      <sz val="14"/>
      <color theme="4" tint="-0.499984740745262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5" tint="-0.499984740745262"/>
      <name val="Calibri"/>
      <family val="2"/>
      <scheme val="minor"/>
    </font>
    <font>
      <b/>
      <sz val="22"/>
      <color rgb="FFEE7100"/>
      <name val="Calibri Light"/>
      <family val="2"/>
      <scheme val="maj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6"/>
      <color theme="9"/>
      <name val="Calibri"/>
      <family val="2"/>
      <scheme val="minor"/>
    </font>
    <font>
      <sz val="14"/>
      <color theme="8" tint="-0.499984740745262"/>
      <name val="Calibri"/>
      <family val="2"/>
      <scheme val="minor"/>
    </font>
    <font>
      <b/>
      <sz val="26"/>
      <color theme="1"/>
      <name val="Calibri Light"/>
      <family val="2"/>
      <scheme val="major"/>
    </font>
    <font>
      <u/>
      <sz val="18"/>
      <color theme="4" tint="-0.499984740745262"/>
      <name val="Calibri"/>
      <family val="2"/>
      <scheme val="minor"/>
    </font>
    <font>
      <b/>
      <sz val="24"/>
      <color theme="8" tint="-0.499984740745262"/>
      <name val="Calibri"/>
      <family val="2"/>
      <scheme val="minor"/>
    </font>
    <font>
      <b/>
      <sz val="18"/>
      <color theme="4" tint="-0.499984740745262"/>
      <name val="Calibri"/>
      <family val="2"/>
      <scheme val="minor"/>
    </font>
    <font>
      <b/>
      <sz val="14"/>
      <color rgb="FF002060"/>
      <name val="Calibri"/>
      <family val="2"/>
      <scheme val="minor"/>
    </font>
    <font>
      <sz val="14"/>
      <color rgb="FF002060"/>
      <name val="Calibri"/>
      <family val="2"/>
      <scheme val="minor"/>
    </font>
    <font>
      <b/>
      <sz val="24"/>
      <color rgb="FF70AD47"/>
      <name val="Calibri"/>
      <family val="2"/>
      <scheme val="minor"/>
    </font>
    <font>
      <sz val="14"/>
      <color theme="1" tint="0.14999847407452621"/>
      <name val="Calibri"/>
      <family val="2"/>
      <scheme val="minor"/>
    </font>
    <font>
      <vertAlign val="subscript"/>
      <sz val="14"/>
      <color theme="1" tint="0.14999847407452621"/>
      <name val="Calibri"/>
      <family val="2"/>
      <scheme val="minor"/>
    </font>
    <font>
      <sz val="14"/>
      <color theme="2" tint="-0.749992370372631"/>
      <name val="Calibri"/>
      <family val="2"/>
      <scheme val="minor"/>
    </font>
    <font>
      <vertAlign val="subscript"/>
      <sz val="14"/>
      <color theme="2" tint="-0.749992370372631"/>
      <name val="Calibri"/>
      <family val="2"/>
      <scheme val="minor"/>
    </font>
    <font>
      <sz val="11"/>
      <color theme="2" tint="-0.74999237037263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8"/>
      <color rgb="FF002060"/>
      <name val="Calibri"/>
      <family val="2"/>
      <scheme val="minor"/>
    </font>
    <font>
      <sz val="1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0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color theme="0" tint="-0.499984740745262"/>
      <name val="Calibri"/>
      <family val="2"/>
      <scheme val="minor"/>
    </font>
    <font>
      <u/>
      <sz val="11"/>
      <color theme="1" tint="0.499984740745262"/>
      <name val="Calibri"/>
      <family val="2"/>
      <scheme val="minor"/>
    </font>
    <font>
      <b/>
      <sz val="12"/>
      <color theme="1" tint="0.499984740745262"/>
      <name val="Calibri"/>
      <family val="2"/>
      <scheme val="minor"/>
    </font>
    <font>
      <sz val="22"/>
      <color rgb="FF0072BC"/>
      <name val="Calibri"/>
      <family val="2"/>
      <scheme val="minor"/>
    </font>
    <font>
      <sz val="24"/>
      <color rgb="FF0072BC"/>
      <name val="Calibri"/>
      <family val="2"/>
      <scheme val="minor"/>
    </font>
    <font>
      <sz val="14"/>
      <color rgb="FF0072BC"/>
      <name val="Calibri"/>
      <family val="2"/>
      <scheme val="minor"/>
    </font>
    <font>
      <b/>
      <sz val="16"/>
      <color rgb="FF0072BC"/>
      <name val="Calibri"/>
      <family val="2"/>
      <scheme val="minor"/>
    </font>
    <font>
      <sz val="18"/>
      <color rgb="FF0072BC"/>
      <name val="Calibri"/>
      <family val="2"/>
      <scheme val="minor"/>
    </font>
    <font>
      <u/>
      <sz val="14"/>
      <color theme="10"/>
      <name val="Calibri"/>
      <family val="2"/>
      <scheme val="minor"/>
    </font>
    <font>
      <b/>
      <sz val="24"/>
      <color rgb="FF0072BC"/>
      <name val="Calibri"/>
      <family val="2"/>
      <scheme val="minor"/>
    </font>
    <font>
      <b/>
      <sz val="18"/>
      <color rgb="FF203764"/>
      <name val="Calibri"/>
      <family val="2"/>
      <scheme val="minor"/>
    </font>
    <font>
      <b/>
      <sz val="18"/>
      <color rgb="FF0072BC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/>
      <right style="thin">
        <color theme="2" tint="-9.9948118533890809E-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6" fillId="0" borderId="0" applyNumberForma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81">
    <xf numFmtId="0" fontId="0" fillId="0" borderId="0" xfId="0"/>
    <xf numFmtId="0" fontId="2" fillId="0" borderId="0" xfId="0" applyFont="1"/>
    <xf numFmtId="0" fontId="3" fillId="0" borderId="0" xfId="0" applyFont="1" applyAlignment="1">
      <alignment vertical="top" wrapText="1"/>
    </xf>
    <xf numFmtId="0" fontId="0" fillId="0" borderId="0" xfId="0" applyAlignment="1"/>
    <xf numFmtId="0" fontId="4" fillId="0" borderId="0" xfId="0" applyFont="1"/>
    <xf numFmtId="0" fontId="5" fillId="0" borderId="0" xfId="0" applyFont="1"/>
    <xf numFmtId="0" fontId="0" fillId="0" borderId="0" xfId="0" applyBorder="1"/>
    <xf numFmtId="0" fontId="6" fillId="0" borderId="0" xfId="1"/>
    <xf numFmtId="0" fontId="7" fillId="0" borderId="0" xfId="0" applyFont="1"/>
    <xf numFmtId="0" fontId="8" fillId="0" borderId="0" xfId="0" applyFont="1" applyAlignment="1">
      <alignment vertical="center"/>
    </xf>
    <xf numFmtId="0" fontId="10" fillId="0" borderId="0" xfId="0" applyFont="1"/>
    <xf numFmtId="0" fontId="9" fillId="0" borderId="0" xfId="0" applyFont="1" applyAlignment="1"/>
    <xf numFmtId="0" fontId="0" fillId="0" borderId="0" xfId="0" applyFont="1" applyAlignment="1">
      <alignment horizontal="center"/>
    </xf>
    <xf numFmtId="0" fontId="11" fillId="0" borderId="0" xfId="0" applyFont="1"/>
    <xf numFmtId="0" fontId="13" fillId="0" borderId="0" xfId="0" applyFont="1"/>
    <xf numFmtId="0" fontId="13" fillId="0" borderId="0" xfId="0" applyFont="1" applyAlignment="1">
      <alignment horizontal="right"/>
    </xf>
    <xf numFmtId="0" fontId="0" fillId="2" borderId="0" xfId="0" applyFont="1" applyFill="1"/>
    <xf numFmtId="0" fontId="15" fillId="0" borderId="0" xfId="0" applyFont="1" applyAlignment="1"/>
    <xf numFmtId="164" fontId="12" fillId="0" borderId="0" xfId="0" applyNumberFormat="1" applyFont="1" applyAlignment="1">
      <alignment horizontal="center"/>
    </xf>
    <xf numFmtId="165" fontId="17" fillId="0" borderId="0" xfId="2" applyNumberFormat="1" applyFont="1"/>
    <xf numFmtId="0" fontId="0" fillId="0" borderId="0" xfId="0" applyFont="1"/>
    <xf numFmtId="0" fontId="19" fillId="0" borderId="0" xfId="0" applyFont="1"/>
    <xf numFmtId="0" fontId="0" fillId="2" borderId="0" xfId="0" applyFill="1"/>
    <xf numFmtId="0" fontId="0" fillId="0" borderId="0" xfId="0" applyFill="1"/>
    <xf numFmtId="0" fontId="10" fillId="2" borderId="0" xfId="0" applyFont="1" applyFill="1"/>
    <xf numFmtId="0" fontId="14" fillId="2" borderId="0" xfId="0" applyFont="1" applyFill="1" applyAlignment="1">
      <alignment vertical="center"/>
    </xf>
    <xf numFmtId="0" fontId="20" fillId="0" borderId="0" xfId="0" applyFont="1"/>
    <xf numFmtId="0" fontId="0" fillId="0" borderId="2" xfId="0" applyBorder="1"/>
    <xf numFmtId="165" fontId="17" fillId="0" borderId="2" xfId="2" applyNumberFormat="1" applyFont="1" applyBorder="1"/>
    <xf numFmtId="0" fontId="21" fillId="0" borderId="0" xfId="0" applyFont="1"/>
    <xf numFmtId="0" fontId="23" fillId="0" borderId="0" xfId="0" applyFont="1"/>
    <xf numFmtId="0" fontId="23" fillId="0" borderId="0" xfId="0" applyFont="1" applyAlignment="1">
      <alignment horizontal="left" vertical="top"/>
    </xf>
    <xf numFmtId="0" fontId="25" fillId="0" borderId="0" xfId="0" applyFont="1"/>
    <xf numFmtId="43" fontId="17" fillId="0" borderId="2" xfId="2" applyNumberFormat="1" applyFont="1" applyBorder="1"/>
    <xf numFmtId="166" fontId="17" fillId="0" borderId="2" xfId="2" applyNumberFormat="1" applyFont="1" applyBorder="1"/>
    <xf numFmtId="166" fontId="17" fillId="0" borderId="0" xfId="2" applyNumberFormat="1" applyFont="1" applyBorder="1"/>
    <xf numFmtId="166" fontId="17" fillId="0" borderId="2" xfId="2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6" fontId="17" fillId="0" borderId="0" xfId="2" applyNumberFormat="1" applyFont="1" applyAlignment="1">
      <alignment horizontal="center" vertical="center"/>
    </xf>
    <xf numFmtId="43" fontId="17" fillId="0" borderId="0" xfId="2" applyNumberFormat="1" applyFont="1" applyBorder="1"/>
    <xf numFmtId="165" fontId="17" fillId="0" borderId="0" xfId="2" applyNumberFormat="1" applyFont="1" applyBorder="1"/>
    <xf numFmtId="0" fontId="19" fillId="0" borderId="0" xfId="0" applyFont="1" applyAlignment="1">
      <alignment horizontal="left" vertical="center"/>
    </xf>
    <xf numFmtId="0" fontId="27" fillId="0" borderId="0" xfId="0" applyFont="1" applyAlignment="1"/>
    <xf numFmtId="0" fontId="19" fillId="0" borderId="0" xfId="0" applyFont="1" applyAlignment="1"/>
    <xf numFmtId="0" fontId="0" fillId="2" borderId="0" xfId="0" applyFill="1" applyBorder="1"/>
    <xf numFmtId="0" fontId="16" fillId="0" borderId="0" xfId="0" applyFont="1" applyBorder="1" applyAlignment="1">
      <alignment vertical="top"/>
    </xf>
    <xf numFmtId="0" fontId="31" fillId="0" borderId="0" xfId="0" applyFont="1" applyAlignment="1">
      <alignment horizontal="left" vertical="center"/>
    </xf>
    <xf numFmtId="0" fontId="33" fillId="0" borderId="2" xfId="0" applyFont="1" applyBorder="1" applyAlignment="1">
      <alignment horizontal="right"/>
    </xf>
    <xf numFmtId="166" fontId="18" fillId="0" borderId="1" xfId="2" applyNumberFormat="1" applyFont="1" applyBorder="1" applyProtection="1">
      <protection locked="0"/>
    </xf>
    <xf numFmtId="165" fontId="18" fillId="0" borderId="1" xfId="2" applyNumberFormat="1" applyFont="1" applyBorder="1" applyProtection="1">
      <protection locked="0"/>
    </xf>
    <xf numFmtId="0" fontId="10" fillId="0" borderId="0" xfId="0" applyFont="1" applyAlignment="1">
      <alignment horizontal="left" indent="1" readingOrder="1"/>
    </xf>
    <xf numFmtId="0" fontId="21" fillId="0" borderId="0" xfId="0" applyFont="1" applyAlignment="1">
      <alignment horizontal="left" indent="1" readingOrder="1"/>
    </xf>
    <xf numFmtId="0" fontId="11" fillId="0" borderId="0" xfId="0" applyFont="1" applyAlignment="1">
      <alignment horizontal="left" indent="1" readingOrder="1"/>
    </xf>
    <xf numFmtId="0" fontId="0" fillId="0" borderId="0" xfId="0" applyAlignment="1">
      <alignment horizontal="left" indent="1" readingOrder="1"/>
    </xf>
    <xf numFmtId="0" fontId="23" fillId="0" borderId="0" xfId="0" applyFont="1" applyAlignment="1">
      <alignment horizontal="left" indent="1" readingOrder="1"/>
    </xf>
    <xf numFmtId="0" fontId="0" fillId="2" borderId="0" xfId="0" applyFill="1" applyAlignment="1">
      <alignment horizontal="left" indent="1"/>
    </xf>
    <xf numFmtId="0" fontId="0" fillId="0" borderId="0" xfId="0" applyAlignment="1">
      <alignment horizontal="left" indent="1"/>
    </xf>
    <xf numFmtId="0" fontId="19" fillId="0" borderId="0" xfId="0" applyFont="1" applyAlignment="1">
      <alignment horizontal="left" indent="1"/>
    </xf>
    <xf numFmtId="0" fontId="19" fillId="0" borderId="0" xfId="0" applyFont="1" applyAlignment="1">
      <alignment horizontal="left" vertical="center" indent="1"/>
    </xf>
    <xf numFmtId="0" fontId="16" fillId="0" borderId="0" xfId="0" applyFont="1" applyBorder="1" applyAlignment="1">
      <alignment horizontal="left" vertical="top" indent="1"/>
    </xf>
    <xf numFmtId="0" fontId="2" fillId="2" borderId="0" xfId="0" applyFont="1" applyFill="1" applyAlignment="1">
      <alignment horizontal="left" indent="3"/>
    </xf>
    <xf numFmtId="0" fontId="0" fillId="2" borderId="0" xfId="0" applyFont="1" applyFill="1" applyAlignment="1">
      <alignment horizontal="left" indent="3"/>
    </xf>
    <xf numFmtId="0" fontId="0" fillId="0" borderId="0" xfId="0" applyAlignment="1">
      <alignment horizontal="left" indent="3"/>
    </xf>
    <xf numFmtId="0" fontId="34" fillId="0" borderId="0" xfId="1" applyFont="1" applyAlignment="1">
      <alignment horizontal="left" indent="3"/>
    </xf>
    <xf numFmtId="0" fontId="37" fillId="0" borderId="0" xfId="0" applyFont="1" applyAlignment="1">
      <alignment horizontal="left" vertical="center" indent="1" readingOrder="1"/>
    </xf>
    <xf numFmtId="0" fontId="38" fillId="0" borderId="0" xfId="0" applyFont="1" applyAlignment="1">
      <alignment horizontal="left" vertical="center" indent="1" readingOrder="1"/>
    </xf>
    <xf numFmtId="0" fontId="39" fillId="0" borderId="0" xfId="0" applyFont="1"/>
    <xf numFmtId="0" fontId="40" fillId="0" borderId="0" xfId="0" applyFont="1" applyAlignment="1">
      <alignment horizontal="left" vertical="center"/>
    </xf>
    <xf numFmtId="0" fontId="0" fillId="2" borderId="0" xfId="0" applyFill="1" applyAlignment="1" applyProtection="1">
      <alignment horizontal="left" indent="1"/>
      <protection locked="0"/>
    </xf>
    <xf numFmtId="0" fontId="41" fillId="0" borderId="0" xfId="1" applyFont="1" applyAlignment="1">
      <alignment horizontal="left"/>
    </xf>
    <xf numFmtId="0" fontId="42" fillId="0" borderId="0" xfId="0" applyFont="1"/>
    <xf numFmtId="0" fontId="0" fillId="0" borderId="0" xfId="0" applyProtection="1">
      <protection locked="0"/>
    </xf>
    <xf numFmtId="0" fontId="9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26" fillId="0" borderId="0" xfId="1" applyFont="1" applyProtection="1">
      <protection locked="0"/>
    </xf>
    <xf numFmtId="0" fontId="28" fillId="0" borderId="3" xfId="0" applyFont="1" applyBorder="1" applyAlignment="1" applyProtection="1">
      <alignment horizontal="center" vertical="center" wrapText="1"/>
      <protection locked="0"/>
    </xf>
    <xf numFmtId="0" fontId="29" fillId="0" borderId="3" xfId="0" applyFont="1" applyBorder="1" applyAlignment="1" applyProtection="1">
      <alignment horizontal="center" vertical="center" wrapText="1"/>
      <protection locked="0"/>
    </xf>
    <xf numFmtId="2" fontId="28" fillId="0" borderId="3" xfId="0" applyNumberFormat="1" applyFont="1" applyBorder="1" applyAlignment="1" applyProtection="1">
      <alignment horizontal="center" vertical="center" wrapText="1"/>
      <protection locked="0"/>
    </xf>
    <xf numFmtId="1" fontId="28" fillId="0" borderId="3" xfId="0" applyNumberFormat="1" applyFont="1" applyBorder="1" applyAlignment="1" applyProtection="1">
      <alignment horizontal="center" vertical="center" wrapText="1"/>
      <protection locked="0"/>
    </xf>
    <xf numFmtId="0" fontId="28" fillId="0" borderId="3" xfId="0" applyFont="1" applyFill="1" applyBorder="1" applyAlignment="1" applyProtection="1">
      <alignment horizontal="center" vertical="center" wrapText="1"/>
      <protection locked="0"/>
    </xf>
    <xf numFmtId="0" fontId="28" fillId="0" borderId="3" xfId="0" applyFont="1" applyBorder="1" applyAlignment="1" applyProtection="1">
      <alignment vertical="center" wrapText="1"/>
      <protection locked="0"/>
    </xf>
    <xf numFmtId="0" fontId="28" fillId="0" borderId="4" xfId="0" applyFont="1" applyBorder="1" applyAlignment="1" applyProtection="1">
      <alignment horizontal="center" vertical="center" wrapText="1"/>
      <protection locked="0"/>
    </xf>
    <xf numFmtId="0" fontId="29" fillId="0" borderId="6" xfId="0" applyFont="1" applyBorder="1" applyAlignment="1" applyProtection="1">
      <alignment horizontal="center" vertical="center" wrapText="1"/>
      <protection locked="0"/>
    </xf>
    <xf numFmtId="0" fontId="28" fillId="0" borderId="6" xfId="0" applyFont="1" applyBorder="1" applyAlignment="1" applyProtection="1">
      <alignment horizontal="center" vertical="center" wrapText="1"/>
      <protection locked="0"/>
    </xf>
    <xf numFmtId="2" fontId="28" fillId="0" borderId="6" xfId="0" applyNumberFormat="1" applyFont="1" applyBorder="1" applyAlignment="1" applyProtection="1">
      <alignment horizontal="center" vertical="center" wrapText="1"/>
      <protection locked="0"/>
    </xf>
    <xf numFmtId="1" fontId="28" fillId="0" borderId="6" xfId="0" applyNumberFormat="1" applyFont="1" applyBorder="1" applyAlignment="1" applyProtection="1">
      <alignment horizontal="center" vertical="center" wrapText="1"/>
      <protection locked="0"/>
    </xf>
    <xf numFmtId="1" fontId="28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28" fillId="6" borderId="3" xfId="0" applyFont="1" applyFill="1" applyBorder="1" applyAlignment="1" applyProtection="1">
      <alignment horizontal="center" vertical="center" wrapText="1"/>
      <protection locked="0"/>
    </xf>
    <xf numFmtId="0" fontId="29" fillId="6" borderId="6" xfId="0" applyFont="1" applyFill="1" applyBorder="1" applyAlignment="1" applyProtection="1">
      <alignment horizontal="center" vertical="center" wrapText="1"/>
      <protection locked="0"/>
    </xf>
    <xf numFmtId="0" fontId="28" fillId="6" borderId="6" xfId="0" applyFont="1" applyFill="1" applyBorder="1" applyAlignment="1" applyProtection="1">
      <alignment horizontal="center" vertical="center" wrapText="1"/>
      <protection locked="0"/>
    </xf>
    <xf numFmtId="2" fontId="28" fillId="6" borderId="6" xfId="0" applyNumberFormat="1" applyFont="1" applyFill="1" applyBorder="1" applyAlignment="1" applyProtection="1">
      <alignment horizontal="center" vertical="center" wrapText="1"/>
      <protection locked="0"/>
    </xf>
    <xf numFmtId="1" fontId="30" fillId="6" borderId="6" xfId="0" applyNumberFormat="1" applyFont="1" applyFill="1" applyBorder="1" applyAlignment="1" applyProtection="1">
      <alignment horizontal="center" vertical="center" wrapText="1"/>
      <protection locked="0"/>
    </xf>
    <xf numFmtId="0" fontId="28" fillId="7" borderId="3" xfId="0" applyFont="1" applyFill="1" applyBorder="1" applyAlignment="1" applyProtection="1">
      <alignment horizontal="center" vertical="center" wrapText="1"/>
      <protection locked="0"/>
    </xf>
    <xf numFmtId="0" fontId="28" fillId="7" borderId="6" xfId="0" applyFont="1" applyFill="1" applyBorder="1" applyAlignment="1" applyProtection="1">
      <alignment horizontal="center" vertical="center" wrapText="1"/>
      <protection locked="0"/>
    </xf>
    <xf numFmtId="167" fontId="29" fillId="8" borderId="6" xfId="0" applyNumberFormat="1" applyFont="1" applyFill="1" applyBorder="1" applyAlignment="1" applyProtection="1">
      <alignment horizontal="center" vertical="center" wrapText="1"/>
      <protection locked="0"/>
    </xf>
    <xf numFmtId="168" fontId="28" fillId="8" borderId="6" xfId="0" applyNumberFormat="1" applyFont="1" applyFill="1" applyBorder="1" applyAlignment="1" applyProtection="1">
      <alignment horizontal="center" vertical="center" wrapText="1"/>
      <protection locked="0"/>
    </xf>
    <xf numFmtId="169" fontId="28" fillId="8" borderId="6" xfId="0" applyNumberFormat="1" applyFont="1" applyFill="1" applyBorder="1" applyAlignment="1" applyProtection="1">
      <alignment horizontal="center" vertical="center" wrapText="1"/>
      <protection locked="0"/>
    </xf>
    <xf numFmtId="2" fontId="28" fillId="8" borderId="6" xfId="0" applyNumberFormat="1" applyFont="1" applyFill="1" applyBorder="1" applyAlignment="1" applyProtection="1">
      <alignment horizontal="center" vertical="center" wrapText="1"/>
      <protection locked="0"/>
    </xf>
    <xf numFmtId="170" fontId="28" fillId="8" borderId="6" xfId="0" applyNumberFormat="1" applyFont="1" applyFill="1" applyBorder="1" applyAlignment="1" applyProtection="1">
      <alignment horizontal="center" vertical="center" wrapText="1"/>
      <protection locked="0"/>
    </xf>
    <xf numFmtId="2" fontId="28" fillId="0" borderId="6" xfId="0" applyNumberFormat="1" applyFont="1" applyFill="1" applyBorder="1" applyAlignment="1" applyProtection="1">
      <alignment horizontal="center" vertical="center" wrapText="1"/>
      <protection locked="0"/>
    </xf>
    <xf numFmtId="173" fontId="0" fillId="0" borderId="0" xfId="0" applyNumberFormat="1" applyProtection="1">
      <protection locked="0"/>
    </xf>
    <xf numFmtId="170" fontId="29" fillId="8" borderId="6" xfId="0" applyNumberFormat="1" applyFont="1" applyFill="1" applyBorder="1" applyAlignment="1" applyProtection="1">
      <alignment horizontal="center" vertical="center" wrapText="1"/>
      <protection locked="0"/>
    </xf>
    <xf numFmtId="2" fontId="29" fillId="6" borderId="6" xfId="0" applyNumberFormat="1" applyFont="1" applyFill="1" applyBorder="1" applyAlignment="1" applyProtection="1">
      <alignment horizontal="center" vertical="center" wrapText="1"/>
      <protection locked="0"/>
    </xf>
    <xf numFmtId="168" fontId="28" fillId="6" borderId="6" xfId="0" applyNumberFormat="1" applyFont="1" applyFill="1" applyBorder="1" applyAlignment="1" applyProtection="1">
      <alignment horizontal="center" vertical="center" wrapText="1"/>
      <protection locked="0"/>
    </xf>
    <xf numFmtId="1" fontId="28" fillId="6" borderId="6" xfId="0" applyNumberFormat="1" applyFont="1" applyFill="1" applyBorder="1" applyAlignment="1" applyProtection="1">
      <alignment horizontal="center" vertical="center" wrapText="1"/>
      <protection locked="0"/>
    </xf>
    <xf numFmtId="2" fontId="28" fillId="7" borderId="6" xfId="0" applyNumberFormat="1" applyFont="1" applyFill="1" applyBorder="1" applyAlignment="1" applyProtection="1">
      <alignment horizontal="center" vertical="center" wrapText="1"/>
      <protection locked="0"/>
    </xf>
    <xf numFmtId="2" fontId="29" fillId="8" borderId="6" xfId="0" applyNumberFormat="1" applyFont="1" applyFill="1" applyBorder="1" applyAlignment="1" applyProtection="1">
      <alignment horizontal="center" vertical="center" wrapText="1"/>
      <protection locked="0"/>
    </xf>
    <xf numFmtId="3" fontId="29" fillId="7" borderId="6" xfId="0" applyNumberFormat="1" applyFont="1" applyFill="1" applyBorder="1" applyAlignment="1" applyProtection="1">
      <alignment horizontal="center" vertical="center" wrapText="1"/>
      <protection locked="0"/>
    </xf>
    <xf numFmtId="3" fontId="28" fillId="7" borderId="6" xfId="0" applyNumberFormat="1" applyFont="1" applyFill="1" applyBorder="1" applyAlignment="1" applyProtection="1">
      <alignment horizontal="center" vertical="center" wrapText="1"/>
      <protection locked="0"/>
    </xf>
    <xf numFmtId="168" fontId="28" fillId="7" borderId="6" xfId="0" applyNumberFormat="1" applyFont="1" applyFill="1" applyBorder="1" applyAlignment="1" applyProtection="1">
      <alignment horizontal="center" vertical="center" wrapText="1"/>
      <protection locked="0"/>
    </xf>
    <xf numFmtId="171" fontId="29" fillId="8" borderId="6" xfId="0" applyNumberFormat="1" applyFont="1" applyFill="1" applyBorder="1" applyAlignment="1" applyProtection="1">
      <alignment horizontal="center" vertical="center" wrapText="1"/>
      <protection locked="0"/>
    </xf>
    <xf numFmtId="172" fontId="28" fillId="8" borderId="6" xfId="0" applyNumberFormat="1" applyFont="1" applyFill="1" applyBorder="1" applyAlignment="1" applyProtection="1">
      <alignment horizontal="center" vertical="center" wrapText="1"/>
      <protection locked="0"/>
    </xf>
    <xf numFmtId="168" fontId="28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0" fillId="5" borderId="0" xfId="0" applyFill="1" applyProtection="1">
      <protection locked="0"/>
    </xf>
    <xf numFmtId="172" fontId="29" fillId="8" borderId="6" xfId="0" applyNumberFormat="1" applyFont="1" applyFill="1" applyBorder="1" applyAlignment="1" applyProtection="1">
      <alignment horizontal="center" vertical="center" wrapText="1"/>
      <protection locked="0"/>
    </xf>
    <xf numFmtId="3" fontId="28" fillId="8" borderId="6" xfId="0" applyNumberFormat="1" applyFont="1" applyFill="1" applyBorder="1" applyAlignment="1" applyProtection="1">
      <alignment horizontal="center" vertical="center" wrapText="1"/>
      <protection locked="0"/>
    </xf>
    <xf numFmtId="1" fontId="28" fillId="7" borderId="6" xfId="0" applyNumberFormat="1" applyFont="1" applyFill="1" applyBorder="1" applyAlignment="1" applyProtection="1">
      <alignment horizontal="center" vertical="center" wrapText="1"/>
      <protection locked="0"/>
    </xf>
    <xf numFmtId="4" fontId="29" fillId="8" borderId="6" xfId="0" applyNumberFormat="1" applyFont="1" applyFill="1" applyBorder="1" applyAlignment="1" applyProtection="1">
      <alignment horizontal="center" vertical="center" wrapText="1"/>
      <protection locked="0"/>
    </xf>
    <xf numFmtId="169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4" fontId="29" fillId="5" borderId="6" xfId="0" applyNumberFormat="1" applyFont="1" applyFill="1" applyBorder="1" applyAlignment="1" applyProtection="1">
      <alignment horizontal="center" vertical="center" wrapText="1"/>
      <protection locked="0"/>
    </xf>
    <xf numFmtId="3" fontId="29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0" fillId="4" borderId="0" xfId="0" applyFill="1" applyProtection="1">
      <protection locked="0"/>
    </xf>
    <xf numFmtId="0" fontId="9" fillId="0" borderId="0" xfId="0" applyFont="1" applyAlignment="1" applyProtection="1">
      <alignment horizontal="center"/>
      <protection locked="0"/>
    </xf>
    <xf numFmtId="0" fontId="6" fillId="0" borderId="0" xfId="1" applyProtection="1">
      <protection locked="0"/>
    </xf>
    <xf numFmtId="0" fontId="0" fillId="4" borderId="0" xfId="0" applyFill="1" applyAlignment="1" applyProtection="1">
      <alignment wrapText="1"/>
      <protection locked="0"/>
    </xf>
    <xf numFmtId="0" fontId="0" fillId="3" borderId="0" xfId="0" applyFill="1" applyProtection="1">
      <protection locked="0"/>
    </xf>
    <xf numFmtId="0" fontId="0" fillId="0" borderId="0" xfId="3" applyNumberFormat="1" applyFont="1" applyProtection="1">
      <protection locked="0"/>
    </xf>
    <xf numFmtId="9" fontId="0" fillId="0" borderId="0" xfId="3" applyFont="1" applyProtection="1">
      <protection locked="0"/>
    </xf>
    <xf numFmtId="165" fontId="0" fillId="0" borderId="0" xfId="2" applyNumberFormat="1" applyFont="1" applyProtection="1">
      <protection locked="0"/>
    </xf>
    <xf numFmtId="168" fontId="0" fillId="0" borderId="0" xfId="0" applyNumberFormat="1" applyProtection="1">
      <protection locked="0"/>
    </xf>
    <xf numFmtId="0" fontId="9" fillId="0" borderId="0" xfId="0" applyFont="1"/>
    <xf numFmtId="0" fontId="28" fillId="0" borderId="3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2" fontId="28" fillId="0" borderId="3" xfId="0" applyNumberFormat="1" applyFont="1" applyBorder="1" applyAlignment="1">
      <alignment horizontal="center" vertical="center" wrapText="1"/>
    </xf>
    <xf numFmtId="1" fontId="28" fillId="0" borderId="3" xfId="0" applyNumberFormat="1" applyFont="1" applyBorder="1" applyAlignment="1">
      <alignment horizontal="center" vertical="center" wrapText="1"/>
    </xf>
    <xf numFmtId="0" fontId="28" fillId="0" borderId="5" xfId="0" applyFont="1" applyBorder="1" applyAlignment="1">
      <alignment vertical="center" wrapText="1"/>
    </xf>
    <xf numFmtId="0" fontId="28" fillId="0" borderId="4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2" fontId="28" fillId="0" borderId="6" xfId="0" applyNumberFormat="1" applyFont="1" applyBorder="1" applyAlignment="1">
      <alignment horizontal="center" vertical="center" wrapText="1"/>
    </xf>
    <xf numFmtId="1" fontId="28" fillId="0" borderId="6" xfId="0" applyNumberFormat="1" applyFont="1" applyBorder="1" applyAlignment="1">
      <alignment horizontal="center" vertical="center" wrapText="1"/>
    </xf>
    <xf numFmtId="1" fontId="28" fillId="0" borderId="4" xfId="0" applyNumberFormat="1" applyFont="1" applyBorder="1" applyAlignment="1">
      <alignment horizontal="center" vertical="center" wrapText="1"/>
    </xf>
    <xf numFmtId="0" fontId="28" fillId="6" borderId="3" xfId="0" applyFont="1" applyFill="1" applyBorder="1" applyAlignment="1">
      <alignment horizontal="center" vertical="center" wrapText="1"/>
    </xf>
    <xf numFmtId="0" fontId="29" fillId="6" borderId="6" xfId="0" applyFont="1" applyFill="1" applyBorder="1" applyAlignment="1">
      <alignment horizontal="center" vertical="center" wrapText="1"/>
    </xf>
    <xf numFmtId="0" fontId="28" fillId="6" borderId="6" xfId="0" applyFont="1" applyFill="1" applyBorder="1" applyAlignment="1">
      <alignment horizontal="center" vertical="center" wrapText="1"/>
    </xf>
    <xf numFmtId="2" fontId="28" fillId="6" borderId="6" xfId="0" applyNumberFormat="1" applyFont="1" applyFill="1" applyBorder="1" applyAlignment="1">
      <alignment horizontal="center" vertical="center" wrapText="1"/>
    </xf>
    <xf numFmtId="1" fontId="30" fillId="6" borderId="6" xfId="0" applyNumberFormat="1" applyFont="1" applyFill="1" applyBorder="1" applyAlignment="1">
      <alignment horizontal="center" vertical="center" wrapText="1"/>
    </xf>
    <xf numFmtId="0" fontId="28" fillId="7" borderId="3" xfId="0" applyFont="1" applyFill="1" applyBorder="1" applyAlignment="1">
      <alignment horizontal="center" vertical="center" wrapText="1"/>
    </xf>
    <xf numFmtId="167" fontId="29" fillId="8" borderId="6" xfId="0" applyNumberFormat="1" applyFont="1" applyFill="1" applyBorder="1" applyAlignment="1">
      <alignment horizontal="center" vertical="center" wrapText="1"/>
    </xf>
    <xf numFmtId="168" fontId="28" fillId="8" borderId="6" xfId="0" applyNumberFormat="1" applyFont="1" applyFill="1" applyBorder="1" applyAlignment="1">
      <alignment horizontal="center" vertical="center" wrapText="1"/>
    </xf>
    <xf numFmtId="169" fontId="28" fillId="8" borderId="6" xfId="0" applyNumberFormat="1" applyFont="1" applyFill="1" applyBorder="1" applyAlignment="1">
      <alignment horizontal="center" vertical="center" wrapText="1"/>
    </xf>
    <xf numFmtId="2" fontId="28" fillId="8" borderId="6" xfId="0" applyNumberFormat="1" applyFont="1" applyFill="1" applyBorder="1" applyAlignment="1">
      <alignment horizontal="center" vertical="center" wrapText="1"/>
    </xf>
    <xf numFmtId="170" fontId="28" fillId="8" borderId="6" xfId="0" applyNumberFormat="1" applyFont="1" applyFill="1" applyBorder="1" applyAlignment="1">
      <alignment horizontal="center" vertical="center" wrapText="1"/>
    </xf>
    <xf numFmtId="170" fontId="29" fillId="8" borderId="6" xfId="0" applyNumberFormat="1" applyFont="1" applyFill="1" applyBorder="1" applyAlignment="1">
      <alignment horizontal="center" vertical="center" wrapText="1"/>
    </xf>
    <xf numFmtId="167" fontId="28" fillId="8" borderId="6" xfId="0" applyNumberFormat="1" applyFont="1" applyFill="1" applyBorder="1" applyAlignment="1">
      <alignment horizontal="center" vertical="center" wrapText="1"/>
    </xf>
    <xf numFmtId="2" fontId="29" fillId="6" borderId="6" xfId="0" applyNumberFormat="1" applyFont="1" applyFill="1" applyBorder="1" applyAlignment="1">
      <alignment horizontal="center" vertical="center" wrapText="1"/>
    </xf>
    <xf numFmtId="168" fontId="28" fillId="6" borderId="6" xfId="0" applyNumberFormat="1" applyFont="1" applyFill="1" applyBorder="1" applyAlignment="1">
      <alignment horizontal="center" vertical="center" wrapText="1"/>
    </xf>
    <xf numFmtId="1" fontId="28" fillId="6" borderId="6" xfId="0" applyNumberFormat="1" applyFont="1" applyFill="1" applyBorder="1" applyAlignment="1">
      <alignment horizontal="center" vertical="center" wrapText="1"/>
    </xf>
    <xf numFmtId="2" fontId="28" fillId="7" borderId="3" xfId="0" applyNumberFormat="1" applyFont="1" applyFill="1" applyBorder="1" applyAlignment="1">
      <alignment horizontal="center" vertical="center" wrapText="1"/>
    </xf>
    <xf numFmtId="2" fontId="29" fillId="8" borderId="6" xfId="0" applyNumberFormat="1" applyFont="1" applyFill="1" applyBorder="1" applyAlignment="1">
      <alignment horizontal="center" vertical="center" wrapText="1"/>
    </xf>
    <xf numFmtId="3" fontId="29" fillId="7" borderId="6" xfId="0" applyNumberFormat="1" applyFont="1" applyFill="1" applyBorder="1" applyAlignment="1">
      <alignment horizontal="center" vertical="center" wrapText="1"/>
    </xf>
    <xf numFmtId="3" fontId="28" fillId="7" borderId="6" xfId="0" applyNumberFormat="1" applyFont="1" applyFill="1" applyBorder="1" applyAlignment="1">
      <alignment horizontal="center" vertical="center" wrapText="1"/>
    </xf>
    <xf numFmtId="168" fontId="28" fillId="7" borderId="3" xfId="0" applyNumberFormat="1" applyFont="1" applyFill="1" applyBorder="1" applyAlignment="1">
      <alignment horizontal="center" vertical="center" wrapText="1"/>
    </xf>
    <xf numFmtId="171" fontId="29" fillId="8" borderId="6" xfId="0" applyNumberFormat="1" applyFont="1" applyFill="1" applyBorder="1" applyAlignment="1">
      <alignment horizontal="center" vertical="center" wrapText="1"/>
    </xf>
    <xf numFmtId="172" fontId="28" fillId="8" borderId="6" xfId="0" applyNumberFormat="1" applyFont="1" applyFill="1" applyBorder="1" applyAlignment="1">
      <alignment horizontal="center" vertical="center" wrapText="1"/>
    </xf>
    <xf numFmtId="168" fontId="28" fillId="0" borderId="3" xfId="0" applyNumberFormat="1" applyFont="1" applyBorder="1" applyAlignment="1">
      <alignment horizontal="center" vertical="center" wrapText="1"/>
    </xf>
    <xf numFmtId="172" fontId="29" fillId="8" borderId="6" xfId="0" applyNumberFormat="1" applyFont="1" applyFill="1" applyBorder="1" applyAlignment="1">
      <alignment horizontal="center" vertical="center" wrapText="1"/>
    </xf>
    <xf numFmtId="3" fontId="28" fillId="8" borderId="6" xfId="0" applyNumberFormat="1" applyFont="1" applyFill="1" applyBorder="1" applyAlignment="1">
      <alignment horizontal="center" vertical="center" wrapText="1"/>
    </xf>
    <xf numFmtId="1" fontId="28" fillId="7" borderId="3" xfId="0" applyNumberFormat="1" applyFont="1" applyFill="1" applyBorder="1" applyAlignment="1">
      <alignment horizontal="center" vertical="center" wrapText="1"/>
    </xf>
    <xf numFmtId="4" fontId="29" fillId="8" borderId="6" xfId="0" applyNumberFormat="1" applyFont="1" applyFill="1" applyBorder="1" applyAlignment="1">
      <alignment horizontal="center" vertical="center" wrapText="1"/>
    </xf>
    <xf numFmtId="4" fontId="29" fillId="5" borderId="6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9" fillId="0" borderId="0" xfId="0" applyFont="1" applyAlignment="1">
      <alignment horizontal="center"/>
    </xf>
    <xf numFmtId="0" fontId="41" fillId="0" borderId="0" xfId="1" applyFont="1"/>
    <xf numFmtId="0" fontId="19" fillId="0" borderId="0" xfId="0" applyFont="1" applyFill="1"/>
    <xf numFmtId="0" fontId="41" fillId="0" borderId="0" xfId="1" applyFont="1" applyFill="1"/>
    <xf numFmtId="0" fontId="36" fillId="0" borderId="0" xfId="0" applyFont="1" applyAlignment="1">
      <alignment horizontal="left" vertical="top" wrapText="1"/>
    </xf>
    <xf numFmtId="0" fontId="35" fillId="0" borderId="0" xfId="0" applyFont="1" applyAlignment="1">
      <alignment horizontal="left" vertical="center" wrapText="1"/>
    </xf>
  </cellXfs>
  <cellStyles count="4">
    <cellStyle name="Comma" xfId="2" builtinId="3"/>
    <cellStyle name="Hyperlink" xfId="1" builtinId="8"/>
    <cellStyle name="Normal" xfId="0" builtinId="0"/>
    <cellStyle name="Percent" xfId="3" builtinId="5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colors>
    <mruColors>
      <color rgb="FFC4D600"/>
      <color rgb="FF0072BC"/>
      <color rgb="FF1F4E78"/>
      <color rgb="FFF715E7"/>
      <color rgb="FF3D1C05"/>
      <color rgb="FF194B28"/>
      <color rgb="FF002060"/>
      <color rgb="FFFFFF66"/>
      <color rgb="FFEE71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jpeg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eg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eg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jpeg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Settings!$M$52</c:f>
              <c:strCache>
                <c:ptCount val="1"/>
                <c:pt idx="0">
                  <c:v>Total</c:v>
                </c:pt>
              </c:strCache>
            </c:strRef>
          </c:tx>
          <c:spPr>
            <a:noFill/>
            <a:ln>
              <a:solidFill>
                <a:schemeClr val="accent2"/>
              </a:solidFill>
            </a:ln>
            <a:effectLst/>
          </c:spPr>
          <c:invertIfNegative val="0"/>
          <c:val>
            <c:numRef>
              <c:f>Settings!$N$52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466-41F5-BA46-D693BEE2C5C0}"/>
            </c:ext>
          </c:extLst>
        </c:ser>
        <c:ser>
          <c:idx val="1"/>
          <c:order val="1"/>
          <c:tx>
            <c:strRef>
              <c:f>Settings!$M$53</c:f>
              <c:strCache>
                <c:ptCount val="1"/>
                <c:pt idx="0">
                  <c:v>% reduction in buffer consumption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Settings!$N$53</c:f>
              <c:numCache>
                <c:formatCode>0%</c:formatCode>
                <c:ptCount val="1"/>
                <c:pt idx="0">
                  <c:v>0.33333333333333331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466-41F5-BA46-D693BEE2C5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100"/>
        <c:axId val="500373504"/>
        <c:axId val="500373896"/>
      </c:barChart>
      <c:catAx>
        <c:axId val="500373504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500373896"/>
        <c:crosses val="autoZero"/>
        <c:auto val="1"/>
        <c:lblAlgn val="ctr"/>
        <c:lblOffset val="100"/>
        <c:noMultiLvlLbl val="0"/>
      </c:catAx>
      <c:valAx>
        <c:axId val="500373896"/>
        <c:scaling>
          <c:orientation val="minMax"/>
          <c:max val="1"/>
        </c:scaling>
        <c:delete val="1"/>
        <c:axPos val="b"/>
        <c:numFmt formatCode="0%" sourceLinked="1"/>
        <c:majorTickMark val="none"/>
        <c:minorTickMark val="none"/>
        <c:tickLblPos val="nextTo"/>
        <c:crossAx val="5003735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Settings!$N$67</c:f>
              <c:strCache>
                <c:ptCount val="1"/>
                <c:pt idx="0">
                  <c:v>Batch Process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Settings!$M$68:$M$70</c:f>
              <c:strCache>
                <c:ptCount val="3"/>
                <c:pt idx="0">
                  <c:v>Throughput  (g/h)</c:v>
                </c:pt>
                <c:pt idx="1">
                  <c:v>Productivity (g/L resin/h)</c:v>
                </c:pt>
                <c:pt idx="2">
                  <c:v>Buffer Consumption (L/g protein)</c:v>
                </c:pt>
              </c:strCache>
            </c:strRef>
          </c:cat>
          <c:val>
            <c:numRef>
              <c:f>Settings!$N$68:$N$70</c:f>
              <c:numCache>
                <c:formatCode>General</c:formatCode>
                <c:ptCount val="3"/>
                <c:pt idx="0">
                  <c:v>99.48376736367679</c:v>
                </c:pt>
                <c:pt idx="1">
                  <c:v>15.833333333333334</c:v>
                </c:pt>
                <c:pt idx="2">
                  <c:v>0.42105263157894735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160-45E3-992B-4042285452C7}"/>
            </c:ext>
          </c:extLst>
        </c:ser>
        <c:ser>
          <c:idx val="1"/>
          <c:order val="1"/>
          <c:tx>
            <c:strRef>
              <c:f>Settings!$O$67</c:f>
              <c:strCache>
                <c:ptCount val="1"/>
                <c:pt idx="0">
                  <c:v>Continuous Process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Settings!$M$68:$M$70</c:f>
              <c:strCache>
                <c:ptCount val="3"/>
                <c:pt idx="0">
                  <c:v>Throughput  (g/h)</c:v>
                </c:pt>
                <c:pt idx="1">
                  <c:v>Productivity (g/L resin/h)</c:v>
                </c:pt>
                <c:pt idx="2">
                  <c:v>Buffer Consumption (L/g protein)</c:v>
                </c:pt>
              </c:strCache>
            </c:strRef>
          </c:cat>
          <c:val>
            <c:numRef>
              <c:f>Settings!$O$68:$O$70</c:f>
              <c:numCache>
                <c:formatCode>General</c:formatCode>
                <c:ptCount val="3"/>
                <c:pt idx="0">
                  <c:v>99.48376736367679</c:v>
                </c:pt>
                <c:pt idx="1">
                  <c:v>39.000000000000007</c:v>
                </c:pt>
                <c:pt idx="2">
                  <c:v>0.26666666666666666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160-45E3-992B-4042285452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99473760"/>
        <c:axId val="499472976"/>
      </c:barChart>
      <c:catAx>
        <c:axId val="4994737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9472976"/>
        <c:crosses val="autoZero"/>
        <c:auto val="1"/>
        <c:lblAlgn val="ctr"/>
        <c:lblOffset val="100"/>
        <c:noMultiLvlLbl val="0"/>
      </c:catAx>
      <c:valAx>
        <c:axId val="499472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94737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1"/>
          <c:order val="1"/>
          <c:tx>
            <c:v>2</c:v>
          </c:tx>
          <c:spPr>
            <a:noFill/>
            <a:ln>
              <a:solidFill>
                <a:schemeClr val="tx1">
                  <a:lumMod val="50000"/>
                  <a:lumOff val="50000"/>
                </a:schemeClr>
              </a:solidFill>
            </a:ln>
            <a:effectLst/>
          </c:spPr>
          <c:invertIfNegative val="0"/>
          <c:val>
            <c:numRef>
              <c:f>Settings!$C$17</c:f>
              <c:numCache>
                <c:formatCode>General</c:formatCode>
                <c:ptCount val="1"/>
                <c:pt idx="0">
                  <c:v>1300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72-4F7D-B577-20659ED163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8"/>
        <c:overlap val="100"/>
        <c:axId val="499472584"/>
        <c:axId val="501625232"/>
      </c:barChart>
      <c:barChart>
        <c:barDir val="col"/>
        <c:grouping val="stacked"/>
        <c:varyColors val="0"/>
        <c:ser>
          <c:idx val="0"/>
          <c:order val="0"/>
          <c:tx>
            <c:v>1</c:v>
          </c:tx>
          <c:spPr>
            <a:blipFill>
              <a:blip xmlns:r="http://schemas.openxmlformats.org/officeDocument/2006/relationships" r:embed="rId3"/>
              <a:tile tx="0" ty="0" sx="100000" sy="100000" flip="none" algn="tl"/>
            </a:blipFill>
            <a:ln>
              <a:noFill/>
            </a:ln>
            <a:effectLst/>
          </c:spPr>
          <c:invertIfNegative val="0"/>
          <c:val>
            <c:numRef>
              <c:f>Settings!$C$16</c:f>
              <c:numCache>
                <c:formatCode>General</c:formatCode>
                <c:ptCount val="1"/>
                <c:pt idx="0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472-4F7D-B577-20659ED163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9"/>
        <c:overlap val="100"/>
        <c:axId val="501626016"/>
        <c:axId val="501625624"/>
      </c:barChart>
      <c:catAx>
        <c:axId val="49947258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501625232"/>
        <c:crosses val="autoZero"/>
        <c:auto val="1"/>
        <c:lblAlgn val="ctr"/>
        <c:lblOffset val="100"/>
        <c:noMultiLvlLbl val="0"/>
      </c:catAx>
      <c:valAx>
        <c:axId val="501625232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499472584"/>
        <c:crosses val="autoZero"/>
        <c:crossBetween val="between"/>
      </c:valAx>
      <c:valAx>
        <c:axId val="501625624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501626016"/>
        <c:crosses val="max"/>
        <c:crossBetween val="between"/>
      </c:valAx>
      <c:catAx>
        <c:axId val="501626016"/>
        <c:scaling>
          <c:orientation val="minMax"/>
        </c:scaling>
        <c:delete val="1"/>
        <c:axPos val="b"/>
        <c:majorTickMark val="out"/>
        <c:minorTickMark val="none"/>
        <c:tickLblPos val="nextTo"/>
        <c:crossAx val="50162562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1"/>
          <c:order val="1"/>
          <c:tx>
            <c:v>2</c:v>
          </c:tx>
          <c:spPr>
            <a:noFill/>
            <a:ln>
              <a:solidFill>
                <a:schemeClr val="tx1">
                  <a:lumMod val="50000"/>
                  <a:lumOff val="50000"/>
                </a:schemeClr>
              </a:solidFill>
            </a:ln>
            <a:effectLst/>
          </c:spPr>
          <c:invertIfNegative val="0"/>
          <c:val>
            <c:numRef>
              <c:f>Settings!$C$21</c:f>
              <c:numCache>
                <c:formatCode>General</c:formatCode>
                <c:ptCount val="1"/>
                <c:pt idx="0">
                  <c:v>1300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34D-47B1-A311-4D6B7E7E52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8"/>
        <c:overlap val="100"/>
        <c:axId val="711920456"/>
        <c:axId val="711920848"/>
      </c:barChart>
      <c:barChart>
        <c:barDir val="col"/>
        <c:grouping val="stacked"/>
        <c:varyColors val="0"/>
        <c:ser>
          <c:idx val="0"/>
          <c:order val="0"/>
          <c:tx>
            <c:v>1</c:v>
          </c:tx>
          <c:spPr>
            <a:blipFill>
              <a:blip xmlns:r="http://schemas.openxmlformats.org/officeDocument/2006/relationships" r:embed="rId3"/>
              <a:tile tx="0" ty="0" sx="100000" sy="100000" flip="none" algn="tl"/>
            </a:blipFill>
            <a:ln>
              <a:noFill/>
            </a:ln>
            <a:effectLst/>
          </c:spPr>
          <c:invertIfNegative val="0"/>
          <c:val>
            <c:numRef>
              <c:f>Settings!$C$20</c:f>
              <c:numCache>
                <c:formatCode>General</c:formatCode>
                <c:ptCount val="1"/>
                <c:pt idx="0">
                  <c:v>300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34D-47B1-A311-4D6B7E7E52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9"/>
        <c:overlap val="100"/>
        <c:axId val="711921632"/>
        <c:axId val="711921240"/>
      </c:barChart>
      <c:catAx>
        <c:axId val="71192045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711920848"/>
        <c:crosses val="autoZero"/>
        <c:auto val="1"/>
        <c:lblAlgn val="ctr"/>
        <c:lblOffset val="100"/>
        <c:noMultiLvlLbl val="0"/>
      </c:catAx>
      <c:valAx>
        <c:axId val="711920848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711920456"/>
        <c:crosses val="autoZero"/>
        <c:crossBetween val="between"/>
      </c:valAx>
      <c:valAx>
        <c:axId val="711921240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711921632"/>
        <c:crosses val="max"/>
        <c:crossBetween val="between"/>
      </c:valAx>
      <c:catAx>
        <c:axId val="711921632"/>
        <c:scaling>
          <c:orientation val="minMax"/>
        </c:scaling>
        <c:delete val="1"/>
        <c:axPos val="b"/>
        <c:majorTickMark val="out"/>
        <c:minorTickMark val="none"/>
        <c:tickLblPos val="nextTo"/>
        <c:crossAx val="71192124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1"/>
          <c:order val="1"/>
          <c:tx>
            <c:v>2</c:v>
          </c:tx>
          <c:spPr>
            <a:noFill/>
            <a:ln>
              <a:solidFill>
                <a:schemeClr val="tx1">
                  <a:lumMod val="50000"/>
                  <a:lumOff val="50000"/>
                </a:schemeClr>
              </a:solidFill>
            </a:ln>
            <a:effectLst/>
          </c:spPr>
          <c:invertIfNegative val="0"/>
          <c:val>
            <c:numRef>
              <c:f>Settings!$C$8</c:f>
              <c:numCache>
                <c:formatCode>General</c:formatCode>
                <c:ptCount val="1"/>
                <c:pt idx="0">
                  <c:v>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A10-4ABF-9A72-94C924D7E9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8"/>
        <c:overlap val="100"/>
        <c:axId val="713711984"/>
        <c:axId val="713712376"/>
      </c:barChart>
      <c:barChart>
        <c:barDir val="col"/>
        <c:grouping val="stacked"/>
        <c:varyColors val="0"/>
        <c:ser>
          <c:idx val="0"/>
          <c:order val="0"/>
          <c:tx>
            <c:v>1</c:v>
          </c:tx>
          <c:spPr>
            <a:blipFill>
              <a:blip xmlns:r="http://schemas.openxmlformats.org/officeDocument/2006/relationships" r:embed="rId3"/>
              <a:tile tx="0" ty="0" sx="100000" sy="100000" flip="none" algn="tl"/>
            </a:blipFill>
            <a:ln>
              <a:noFill/>
            </a:ln>
            <a:effectLst/>
          </c:spPr>
          <c:invertIfNegative val="0"/>
          <c:val>
            <c:numRef>
              <c:f>Settings!$C$7</c:f>
              <c:numCache>
                <c:formatCode>General</c:formatCode>
                <c:ptCount val="1"/>
                <c:pt idx="0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A10-4ABF-9A72-94C924D7E9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9"/>
        <c:overlap val="100"/>
        <c:axId val="713713160"/>
        <c:axId val="713712768"/>
      </c:barChart>
      <c:catAx>
        <c:axId val="71371198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713712376"/>
        <c:crosses val="autoZero"/>
        <c:auto val="1"/>
        <c:lblAlgn val="ctr"/>
        <c:lblOffset val="100"/>
        <c:noMultiLvlLbl val="0"/>
      </c:catAx>
      <c:valAx>
        <c:axId val="713712376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713711984"/>
        <c:crosses val="autoZero"/>
        <c:crossBetween val="between"/>
      </c:valAx>
      <c:valAx>
        <c:axId val="713712768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713713160"/>
        <c:crosses val="max"/>
        <c:crossBetween val="between"/>
      </c:valAx>
      <c:catAx>
        <c:axId val="713713160"/>
        <c:scaling>
          <c:orientation val="minMax"/>
        </c:scaling>
        <c:delete val="1"/>
        <c:axPos val="b"/>
        <c:majorTickMark val="out"/>
        <c:minorTickMark val="none"/>
        <c:tickLblPos val="nextTo"/>
        <c:crossAx val="71371276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1"/>
          <c:order val="1"/>
          <c:tx>
            <c:v>2</c:v>
          </c:tx>
          <c:spPr>
            <a:noFill/>
            <a:ln>
              <a:solidFill>
                <a:schemeClr val="tx1">
                  <a:lumMod val="50000"/>
                  <a:lumOff val="50000"/>
                </a:schemeClr>
              </a:solidFill>
            </a:ln>
            <a:effectLst/>
          </c:spPr>
          <c:invertIfNegative val="0"/>
          <c:val>
            <c:numRef>
              <c:f>Settings!$C$13</c:f>
              <c:numCache>
                <c:formatCode>General</c:formatCode>
                <c:ptCount val="1"/>
                <c:pt idx="0">
                  <c:v>700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1D1-43E7-9B47-B98CA10209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8"/>
        <c:overlap val="100"/>
        <c:axId val="496733816"/>
        <c:axId val="496734208"/>
      </c:barChart>
      <c:barChart>
        <c:barDir val="col"/>
        <c:grouping val="stacked"/>
        <c:varyColors val="0"/>
        <c:ser>
          <c:idx val="0"/>
          <c:order val="0"/>
          <c:tx>
            <c:v>1</c:v>
          </c:tx>
          <c:spPr>
            <a:blipFill>
              <a:blip xmlns:r="http://schemas.openxmlformats.org/officeDocument/2006/relationships" r:embed="rId3"/>
              <a:tile tx="0" ty="0" sx="100000" sy="100000" flip="none" algn="tl"/>
            </a:blipFill>
            <a:ln>
              <a:noFill/>
            </a:ln>
            <a:effectLst/>
          </c:spPr>
          <c:invertIfNegative val="0"/>
          <c:val>
            <c:numRef>
              <c:f>Settings!$C$12</c:f>
              <c:numCache>
                <c:formatCode>General</c:formatCode>
                <c:ptCount val="1"/>
                <c:pt idx="0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1D1-43E7-9B47-B98CA10209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9"/>
        <c:overlap val="100"/>
        <c:axId val="711544648"/>
        <c:axId val="496734600"/>
      </c:barChart>
      <c:catAx>
        <c:axId val="49673381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496734208"/>
        <c:crosses val="autoZero"/>
        <c:auto val="1"/>
        <c:lblAlgn val="ctr"/>
        <c:lblOffset val="100"/>
        <c:noMultiLvlLbl val="0"/>
      </c:catAx>
      <c:valAx>
        <c:axId val="496734208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496733816"/>
        <c:crosses val="autoZero"/>
        <c:crossBetween val="between"/>
      </c:valAx>
      <c:valAx>
        <c:axId val="496734600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711544648"/>
        <c:crosses val="max"/>
        <c:crossBetween val="between"/>
      </c:valAx>
      <c:catAx>
        <c:axId val="711544648"/>
        <c:scaling>
          <c:orientation val="minMax"/>
        </c:scaling>
        <c:delete val="1"/>
        <c:axPos val="b"/>
        <c:majorTickMark val="out"/>
        <c:minorTickMark val="none"/>
        <c:tickLblPos val="nextTo"/>
        <c:crossAx val="49673460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1"/>
          <c:order val="1"/>
          <c:tx>
            <c:v>2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noFill/>
              <a:ln>
                <a:solidFill>
                  <a:schemeClr val="tx1">
                    <a:lumMod val="50000"/>
                    <a:lumOff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1FA3-482E-A59E-9D6FBD6392A1}"/>
              </c:ext>
            </c:extLst>
          </c:dPt>
          <c:val>
            <c:numRef>
              <c:f>Settings!$H$17</c:f>
              <c:numCache>
                <c:formatCode>General</c:formatCode>
                <c:ptCount val="1"/>
                <c:pt idx="0">
                  <c:v>1300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FA3-482E-A59E-9D6FBD6392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8"/>
        <c:overlap val="100"/>
        <c:axId val="711545824"/>
        <c:axId val="711546216"/>
      </c:barChart>
      <c:barChart>
        <c:barDir val="col"/>
        <c:grouping val="stacked"/>
        <c:varyColors val="0"/>
        <c:ser>
          <c:idx val="0"/>
          <c:order val="0"/>
          <c:tx>
            <c:v>1</c:v>
          </c:tx>
          <c:spPr>
            <a:blipFill>
              <a:blip xmlns:r="http://schemas.openxmlformats.org/officeDocument/2006/relationships" r:embed="rId3"/>
              <a:tile tx="0" ty="0" sx="100000" sy="100000" flip="none" algn="tl"/>
            </a:blip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1FA3-482E-A59E-9D6FBD6392A1}"/>
              </c:ext>
            </c:extLst>
          </c:dPt>
          <c:val>
            <c:numRef>
              <c:f>Settings!$H$16</c:f>
              <c:numCache>
                <c:formatCode>General</c:formatCode>
                <c:ptCount val="1"/>
                <c:pt idx="0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FA3-482E-A59E-9D6FBD6392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9"/>
        <c:overlap val="100"/>
        <c:axId val="497123816"/>
        <c:axId val="497123424"/>
      </c:barChart>
      <c:catAx>
        <c:axId val="71154582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711546216"/>
        <c:crosses val="autoZero"/>
        <c:auto val="1"/>
        <c:lblAlgn val="ctr"/>
        <c:lblOffset val="100"/>
        <c:noMultiLvlLbl val="0"/>
      </c:catAx>
      <c:valAx>
        <c:axId val="711546216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711545824"/>
        <c:crosses val="autoZero"/>
        <c:crossBetween val="between"/>
      </c:valAx>
      <c:valAx>
        <c:axId val="497123424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497123816"/>
        <c:crosses val="max"/>
        <c:crossBetween val="between"/>
      </c:valAx>
      <c:catAx>
        <c:axId val="497123816"/>
        <c:scaling>
          <c:orientation val="minMax"/>
        </c:scaling>
        <c:delete val="1"/>
        <c:axPos val="b"/>
        <c:majorTickMark val="out"/>
        <c:minorTickMark val="none"/>
        <c:tickLblPos val="nextTo"/>
        <c:crossAx val="49712342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1"/>
          <c:order val="1"/>
          <c:tx>
            <c:v>2</c:v>
          </c:tx>
          <c:spPr>
            <a:noFill/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val>
            <c:numRef>
              <c:f>Settings!$H$21</c:f>
              <c:numCache>
                <c:formatCode>General</c:formatCode>
                <c:ptCount val="1"/>
                <c:pt idx="0">
                  <c:v>1300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EBB-4901-A010-F35BB63A8C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8"/>
        <c:overlap val="100"/>
        <c:axId val="497124600"/>
        <c:axId val="497124992"/>
      </c:barChart>
      <c:barChart>
        <c:barDir val="col"/>
        <c:grouping val="stacked"/>
        <c:varyColors val="0"/>
        <c:ser>
          <c:idx val="0"/>
          <c:order val="0"/>
          <c:tx>
            <c:v>1</c:v>
          </c:tx>
          <c:spPr>
            <a:blipFill>
              <a:blip xmlns:r="http://schemas.openxmlformats.org/officeDocument/2006/relationships" r:embed="rId3"/>
              <a:tile tx="0" ty="0" sx="100000" sy="100000" flip="none" algn="tl"/>
            </a:blipFill>
            <a:ln>
              <a:noFill/>
            </a:ln>
            <a:effectLst/>
          </c:spPr>
          <c:invertIfNegative val="0"/>
          <c:val>
            <c:numRef>
              <c:f>Settings!$H$20</c:f>
              <c:numCache>
                <c:formatCode>General</c:formatCode>
                <c:ptCount val="1"/>
                <c:pt idx="0">
                  <c:v>300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EBB-4901-A010-F35BB63A8C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9"/>
        <c:overlap val="100"/>
        <c:axId val="497125776"/>
        <c:axId val="497125384"/>
      </c:barChart>
      <c:catAx>
        <c:axId val="497124600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497124992"/>
        <c:crosses val="autoZero"/>
        <c:auto val="1"/>
        <c:lblAlgn val="ctr"/>
        <c:lblOffset val="100"/>
        <c:noMultiLvlLbl val="0"/>
      </c:catAx>
      <c:valAx>
        <c:axId val="497124992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497124600"/>
        <c:crosses val="autoZero"/>
        <c:crossBetween val="between"/>
      </c:valAx>
      <c:valAx>
        <c:axId val="497125384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497125776"/>
        <c:crosses val="max"/>
        <c:crossBetween val="between"/>
      </c:valAx>
      <c:catAx>
        <c:axId val="497125776"/>
        <c:scaling>
          <c:orientation val="minMax"/>
        </c:scaling>
        <c:delete val="1"/>
        <c:axPos val="b"/>
        <c:majorTickMark val="out"/>
        <c:minorTickMark val="none"/>
        <c:tickLblPos val="nextTo"/>
        <c:crossAx val="49712538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1"/>
          <c:order val="1"/>
          <c:spPr>
            <a:noFill/>
            <a:ln>
              <a:solidFill>
                <a:schemeClr val="tx1">
                  <a:lumMod val="50000"/>
                  <a:lumOff val="50000"/>
                </a:schemeClr>
              </a:solidFill>
            </a:ln>
            <a:effectLst/>
          </c:spPr>
          <c:invertIfNegative val="0"/>
          <c:val>
            <c:numRef>
              <c:f>Settings!$H$13</c:f>
              <c:numCache>
                <c:formatCode>General</c:formatCode>
                <c:ptCount val="1"/>
                <c:pt idx="0">
                  <c:v>700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780-455E-8034-B45145022D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8"/>
        <c:overlap val="100"/>
        <c:axId val="497126560"/>
        <c:axId val="497126952"/>
      </c:barChart>
      <c:barChart>
        <c:barDir val="col"/>
        <c:grouping val="stacked"/>
        <c:varyColors val="0"/>
        <c:ser>
          <c:idx val="0"/>
          <c:order val="0"/>
          <c:spPr>
            <a:blipFill>
              <a:blip xmlns:r="http://schemas.openxmlformats.org/officeDocument/2006/relationships" r:embed="rId3"/>
              <a:tile tx="0" ty="0" sx="100000" sy="100000" flip="none" algn="tl"/>
            </a:blipFill>
            <a:ln>
              <a:noFill/>
            </a:ln>
            <a:effectLst/>
          </c:spPr>
          <c:invertIfNegative val="0"/>
          <c:val>
            <c:numRef>
              <c:f>Settings!$H$12</c:f>
              <c:numCache>
                <c:formatCode>General</c:formatCode>
                <c:ptCount val="1"/>
                <c:pt idx="0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780-455E-8034-B45145022D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9"/>
        <c:overlap val="100"/>
        <c:axId val="716312048"/>
        <c:axId val="716311656"/>
      </c:barChart>
      <c:catAx>
        <c:axId val="497126560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497126952"/>
        <c:crosses val="autoZero"/>
        <c:auto val="1"/>
        <c:lblAlgn val="ctr"/>
        <c:lblOffset val="100"/>
        <c:noMultiLvlLbl val="0"/>
      </c:catAx>
      <c:valAx>
        <c:axId val="497126952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497126560"/>
        <c:crosses val="autoZero"/>
        <c:crossBetween val="between"/>
      </c:valAx>
      <c:valAx>
        <c:axId val="716311656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716312048"/>
        <c:crosses val="max"/>
        <c:crossBetween val="between"/>
      </c:valAx>
      <c:catAx>
        <c:axId val="716312048"/>
        <c:scaling>
          <c:orientation val="minMax"/>
        </c:scaling>
        <c:delete val="1"/>
        <c:axPos val="b"/>
        <c:majorTickMark val="out"/>
        <c:minorTickMark val="none"/>
        <c:tickLblPos val="nextTo"/>
        <c:crossAx val="7163116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1"/>
          <c:order val="1"/>
          <c:spPr>
            <a:noFill/>
            <a:ln>
              <a:solidFill>
                <a:schemeClr val="tx1">
                  <a:lumMod val="50000"/>
                  <a:lumOff val="50000"/>
                </a:schemeClr>
              </a:solidFill>
            </a:ln>
            <a:effectLst/>
          </c:spPr>
          <c:invertIfNegative val="0"/>
          <c:val>
            <c:numRef>
              <c:f>Settings!$H$8</c:f>
              <c:numCache>
                <c:formatCode>General</c:formatCode>
                <c:ptCount val="1"/>
                <c:pt idx="0">
                  <c:v>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B7E-42D8-BB6D-BAC3A2746B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8"/>
        <c:overlap val="100"/>
        <c:axId val="500325392"/>
        <c:axId val="500325000"/>
      </c:barChart>
      <c:barChart>
        <c:barDir val="col"/>
        <c:grouping val="stacked"/>
        <c:varyColors val="0"/>
        <c:ser>
          <c:idx val="0"/>
          <c:order val="0"/>
          <c:spPr>
            <a:blipFill>
              <a:blip xmlns:r="http://schemas.openxmlformats.org/officeDocument/2006/relationships" r:embed="rId3"/>
              <a:tile tx="0" ty="0" sx="100000" sy="100000" flip="none" algn="tl"/>
            </a:blipFill>
            <a:ln>
              <a:noFill/>
            </a:ln>
            <a:effectLst/>
          </c:spPr>
          <c:invertIfNegative val="0"/>
          <c:val>
            <c:numRef>
              <c:f>Settings!$H$7</c:f>
              <c:numCache>
                <c:formatCode>General</c:formatCode>
                <c:ptCount val="1"/>
                <c:pt idx="0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B7E-42D8-BB6D-BAC3A2746B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9"/>
        <c:overlap val="100"/>
        <c:axId val="500324216"/>
        <c:axId val="500324608"/>
      </c:barChart>
      <c:catAx>
        <c:axId val="500325392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500325000"/>
        <c:crosses val="autoZero"/>
        <c:auto val="1"/>
        <c:lblAlgn val="ctr"/>
        <c:lblOffset val="100"/>
        <c:noMultiLvlLbl val="0"/>
      </c:catAx>
      <c:valAx>
        <c:axId val="500325000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500325392"/>
        <c:crosses val="autoZero"/>
        <c:crossBetween val="between"/>
      </c:valAx>
      <c:valAx>
        <c:axId val="500324608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500324216"/>
        <c:crosses val="max"/>
        <c:crossBetween val="between"/>
      </c:valAx>
      <c:catAx>
        <c:axId val="500324216"/>
        <c:scaling>
          <c:orientation val="minMax"/>
        </c:scaling>
        <c:delete val="1"/>
        <c:axPos val="b"/>
        <c:majorTickMark val="out"/>
        <c:minorTickMark val="none"/>
        <c:tickLblPos val="nextTo"/>
        <c:crossAx val="50032460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Settings!$N$67</c:f>
              <c:strCache>
                <c:ptCount val="1"/>
                <c:pt idx="0">
                  <c:v>Batch Process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Settings!$M$68</c:f>
              <c:strCache>
                <c:ptCount val="1"/>
                <c:pt idx="0">
                  <c:v>Throughput  (g/h)</c:v>
                </c:pt>
              </c:strCache>
            </c:strRef>
          </c:cat>
          <c:val>
            <c:numRef>
              <c:f>Settings!$N$68</c:f>
              <c:numCache>
                <c:formatCode>General</c:formatCode>
                <c:ptCount val="1"/>
                <c:pt idx="0">
                  <c:v>99.48376736367679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3E-44CC-B091-841BB4E3FBA7}"/>
            </c:ext>
          </c:extLst>
        </c:ser>
        <c:ser>
          <c:idx val="1"/>
          <c:order val="1"/>
          <c:tx>
            <c:strRef>
              <c:f>Settings!$O$67</c:f>
              <c:strCache>
                <c:ptCount val="1"/>
                <c:pt idx="0">
                  <c:v>Continuous Process</c:v>
                </c:pt>
              </c:strCache>
            </c:strRef>
          </c:tx>
          <c:spPr>
            <a:solidFill>
              <a:srgbClr val="0072BC"/>
            </a:solidFill>
            <a:ln>
              <a:noFill/>
            </a:ln>
            <a:effectLst/>
          </c:spPr>
          <c:invertIfNegative val="0"/>
          <c:cat>
            <c:strRef>
              <c:f>Settings!$M$68</c:f>
              <c:strCache>
                <c:ptCount val="1"/>
                <c:pt idx="0">
                  <c:v>Throughput  (g/h)</c:v>
                </c:pt>
              </c:strCache>
            </c:strRef>
          </c:cat>
          <c:val>
            <c:numRef>
              <c:f>Settings!$O$68</c:f>
              <c:numCache>
                <c:formatCode>General</c:formatCode>
                <c:ptCount val="1"/>
                <c:pt idx="0">
                  <c:v>99.48376736367679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13E-44CC-B091-841BB4E3FB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16312832"/>
        <c:axId val="716313224"/>
      </c:barChart>
      <c:catAx>
        <c:axId val="716312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6313224"/>
        <c:crosses val="autoZero"/>
        <c:auto val="1"/>
        <c:lblAlgn val="ctr"/>
        <c:lblOffset val="100"/>
        <c:noMultiLvlLbl val="0"/>
      </c:catAx>
      <c:valAx>
        <c:axId val="716313224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7163128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Settings!$N$67</c:f>
              <c:strCache>
                <c:ptCount val="1"/>
                <c:pt idx="0">
                  <c:v>Batch Process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Settings!$M$69</c:f>
              <c:strCache>
                <c:ptCount val="1"/>
                <c:pt idx="0">
                  <c:v>Productivity (g/L resin/h)</c:v>
                </c:pt>
              </c:strCache>
            </c:strRef>
          </c:cat>
          <c:val>
            <c:numRef>
              <c:f>Settings!$N$69</c:f>
              <c:numCache>
                <c:formatCode>General</c:formatCode>
                <c:ptCount val="1"/>
                <c:pt idx="0">
                  <c:v>15.833333333333334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7E-4BC9-BA51-A966C682A9AB}"/>
            </c:ext>
          </c:extLst>
        </c:ser>
        <c:ser>
          <c:idx val="1"/>
          <c:order val="1"/>
          <c:tx>
            <c:strRef>
              <c:f>Settings!$O$67</c:f>
              <c:strCache>
                <c:ptCount val="1"/>
                <c:pt idx="0">
                  <c:v>Continuous Process</c:v>
                </c:pt>
              </c:strCache>
            </c:strRef>
          </c:tx>
          <c:spPr>
            <a:solidFill>
              <a:srgbClr val="0072BC"/>
            </a:solidFill>
            <a:ln>
              <a:noFill/>
            </a:ln>
            <a:effectLst/>
          </c:spPr>
          <c:invertIfNegative val="0"/>
          <c:cat>
            <c:strRef>
              <c:f>Settings!$M$69</c:f>
              <c:strCache>
                <c:ptCount val="1"/>
                <c:pt idx="0">
                  <c:v>Productivity (g/L resin/h)</c:v>
                </c:pt>
              </c:strCache>
            </c:strRef>
          </c:cat>
          <c:val>
            <c:numRef>
              <c:f>Settings!$O$69</c:f>
              <c:numCache>
                <c:formatCode>General</c:formatCode>
                <c:ptCount val="1"/>
                <c:pt idx="0">
                  <c:v>39.000000000000007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F7E-4BC9-BA51-A966C682A9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96733424"/>
        <c:axId val="716314008"/>
      </c:barChart>
      <c:catAx>
        <c:axId val="4967334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6314008"/>
        <c:crosses val="autoZero"/>
        <c:auto val="1"/>
        <c:lblAlgn val="ctr"/>
        <c:lblOffset val="100"/>
        <c:noMultiLvlLbl val="0"/>
      </c:catAx>
      <c:valAx>
        <c:axId val="716314008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496733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Settings!$N$67</c:f>
              <c:strCache>
                <c:ptCount val="1"/>
                <c:pt idx="0">
                  <c:v>Batch Process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Settings!$M$70</c:f>
              <c:strCache>
                <c:ptCount val="1"/>
                <c:pt idx="0">
                  <c:v>Buffer Consumption (L/g protein)</c:v>
                </c:pt>
              </c:strCache>
            </c:strRef>
          </c:cat>
          <c:val>
            <c:numRef>
              <c:f>Settings!$N$70</c:f>
              <c:numCache>
                <c:formatCode>General</c:formatCode>
                <c:ptCount val="1"/>
                <c:pt idx="0">
                  <c:v>0.42105263157894735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AD-42E7-A41B-515175221B4F}"/>
            </c:ext>
          </c:extLst>
        </c:ser>
        <c:ser>
          <c:idx val="1"/>
          <c:order val="1"/>
          <c:tx>
            <c:strRef>
              <c:f>Settings!$O$67</c:f>
              <c:strCache>
                <c:ptCount val="1"/>
                <c:pt idx="0">
                  <c:v>Continuous Process</c:v>
                </c:pt>
              </c:strCache>
            </c:strRef>
          </c:tx>
          <c:spPr>
            <a:solidFill>
              <a:srgbClr val="0072BC"/>
            </a:solidFill>
            <a:ln>
              <a:noFill/>
            </a:ln>
            <a:effectLst/>
          </c:spPr>
          <c:invertIfNegative val="0"/>
          <c:cat>
            <c:strRef>
              <c:f>Settings!$M$70</c:f>
              <c:strCache>
                <c:ptCount val="1"/>
                <c:pt idx="0">
                  <c:v>Buffer Consumption (L/g protein)</c:v>
                </c:pt>
              </c:strCache>
            </c:strRef>
          </c:cat>
          <c:val>
            <c:numRef>
              <c:f>Settings!$O$70</c:f>
              <c:numCache>
                <c:formatCode>General</c:formatCode>
                <c:ptCount val="1"/>
                <c:pt idx="0">
                  <c:v>0.26666666666666666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4AD-42E7-A41B-515175221B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16314792"/>
        <c:axId val="716315184"/>
      </c:barChart>
      <c:catAx>
        <c:axId val="716314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6315184"/>
        <c:crosses val="autoZero"/>
        <c:auto val="1"/>
        <c:lblAlgn val="ctr"/>
        <c:lblOffset val="100"/>
        <c:noMultiLvlLbl val="0"/>
      </c:catAx>
      <c:valAx>
        <c:axId val="716315184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716314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Settings!$N$60</c:f>
              <c:strCache>
                <c:ptCount val="1"/>
                <c:pt idx="0">
                  <c:v>Batch Process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Settings!$M$61</c:f>
              <c:strCache>
                <c:ptCount val="1"/>
                <c:pt idx="0">
                  <c:v>Throughput  (g/h)</c:v>
                </c:pt>
              </c:strCache>
            </c:strRef>
          </c:cat>
          <c:val>
            <c:numRef>
              <c:f>Settings!$N$61</c:f>
              <c:numCache>
                <c:formatCode>_(* #,##0_);_(* \(#,##0\);_(* "-"??_);_(@_)</c:formatCode>
                <c:ptCount val="1"/>
                <c:pt idx="0">
                  <c:v>115.52953629330204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992-42AB-9572-51F12F384320}"/>
            </c:ext>
          </c:extLst>
        </c:ser>
        <c:ser>
          <c:idx val="1"/>
          <c:order val="1"/>
          <c:tx>
            <c:strRef>
              <c:f>Settings!$O$60</c:f>
              <c:strCache>
                <c:ptCount val="1"/>
                <c:pt idx="0">
                  <c:v>Continuous Process</c:v>
                </c:pt>
              </c:strCache>
            </c:strRef>
          </c:tx>
          <c:spPr>
            <a:solidFill>
              <a:srgbClr val="0072BC"/>
            </a:solidFill>
            <a:ln>
              <a:noFill/>
            </a:ln>
            <a:effectLst/>
          </c:spPr>
          <c:invertIfNegative val="0"/>
          <c:cat>
            <c:strRef>
              <c:f>Settings!$M$61</c:f>
              <c:strCache>
                <c:ptCount val="1"/>
                <c:pt idx="0">
                  <c:v>Throughput  (g/h)</c:v>
                </c:pt>
              </c:strCache>
            </c:strRef>
          </c:cat>
          <c:val>
            <c:numRef>
              <c:f>Settings!$O$61</c:f>
              <c:numCache>
                <c:formatCode>_(* #,##0_);_(* \(#,##0\);_(* "-"??_);_(@_)</c:formatCode>
                <c:ptCount val="1"/>
                <c:pt idx="0">
                  <c:v>310.38935417467155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992-42AB-9572-51F12F3843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15880704"/>
        <c:axId val="715881096"/>
      </c:barChart>
      <c:catAx>
        <c:axId val="7158807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5881096"/>
        <c:crosses val="autoZero"/>
        <c:auto val="1"/>
        <c:lblAlgn val="ctr"/>
        <c:lblOffset val="100"/>
        <c:noMultiLvlLbl val="0"/>
      </c:catAx>
      <c:valAx>
        <c:axId val="715881096"/>
        <c:scaling>
          <c:orientation val="minMax"/>
        </c:scaling>
        <c:delete val="1"/>
        <c:axPos val="l"/>
        <c:numFmt formatCode="_(* #,##0_);_(* \(#,##0\);_(* &quot;-&quot;??_);_(@_)" sourceLinked="1"/>
        <c:majorTickMark val="none"/>
        <c:minorTickMark val="none"/>
        <c:tickLblPos val="nextTo"/>
        <c:crossAx val="7158807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Settings!$N$60</c:f>
              <c:strCache>
                <c:ptCount val="1"/>
                <c:pt idx="0">
                  <c:v>Batch Process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Settings!$M$62</c:f>
              <c:strCache>
                <c:ptCount val="1"/>
                <c:pt idx="0">
                  <c:v>Productivity (g/L resin/h)</c:v>
                </c:pt>
              </c:strCache>
            </c:strRef>
          </c:cat>
          <c:val>
            <c:numRef>
              <c:f>Settings!$N$62</c:f>
              <c:numCache>
                <c:formatCode>0.0</c:formatCode>
                <c:ptCount val="1"/>
                <c:pt idx="0">
                  <c:v>18.387096774193541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7F0-49F1-8272-8809C9D0380E}"/>
            </c:ext>
          </c:extLst>
        </c:ser>
        <c:ser>
          <c:idx val="1"/>
          <c:order val="1"/>
          <c:tx>
            <c:strRef>
              <c:f>Settings!$O$60</c:f>
              <c:strCache>
                <c:ptCount val="1"/>
                <c:pt idx="0">
                  <c:v>Continuous Process</c:v>
                </c:pt>
              </c:strCache>
            </c:strRef>
          </c:tx>
          <c:spPr>
            <a:solidFill>
              <a:srgbClr val="0072BC"/>
            </a:solidFill>
            <a:ln>
              <a:noFill/>
            </a:ln>
            <a:effectLst/>
          </c:spPr>
          <c:invertIfNegative val="0"/>
          <c:cat>
            <c:strRef>
              <c:f>Settings!$M$62</c:f>
              <c:strCache>
                <c:ptCount val="1"/>
                <c:pt idx="0">
                  <c:v>Productivity (g/L resin/h)</c:v>
                </c:pt>
              </c:strCache>
            </c:strRef>
          </c:cat>
          <c:val>
            <c:numRef>
              <c:f>Settings!$O$62</c:f>
              <c:numCache>
                <c:formatCode>0.0</c:formatCode>
                <c:ptCount val="1"/>
                <c:pt idx="0">
                  <c:v>49.399999999999984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7F0-49F1-8272-8809C9D038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15881880"/>
        <c:axId val="715882272"/>
      </c:barChart>
      <c:catAx>
        <c:axId val="7158818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5882272"/>
        <c:crosses val="autoZero"/>
        <c:auto val="1"/>
        <c:lblAlgn val="ctr"/>
        <c:lblOffset val="100"/>
        <c:noMultiLvlLbl val="0"/>
      </c:catAx>
      <c:valAx>
        <c:axId val="715882272"/>
        <c:scaling>
          <c:orientation val="minMax"/>
        </c:scaling>
        <c:delete val="1"/>
        <c:axPos val="l"/>
        <c:numFmt formatCode="0.0" sourceLinked="1"/>
        <c:majorTickMark val="none"/>
        <c:minorTickMark val="none"/>
        <c:tickLblPos val="nextTo"/>
        <c:crossAx val="7158818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Settings!$N$60</c:f>
              <c:strCache>
                <c:ptCount val="1"/>
                <c:pt idx="0">
                  <c:v>Batch Process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Settings!$M$63</c:f>
              <c:strCache>
                <c:ptCount val="1"/>
                <c:pt idx="0">
                  <c:v>Buffer Consumption (L/g protein)</c:v>
                </c:pt>
              </c:strCache>
            </c:strRef>
          </c:cat>
          <c:val>
            <c:numRef>
              <c:f>Settings!$N$63</c:f>
              <c:numCache>
                <c:formatCode>0.0</c:formatCode>
                <c:ptCount val="1"/>
                <c:pt idx="0">
                  <c:v>0.4210526315789474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966-4792-8409-E47ABA6CB930}"/>
            </c:ext>
          </c:extLst>
        </c:ser>
        <c:ser>
          <c:idx val="1"/>
          <c:order val="1"/>
          <c:tx>
            <c:strRef>
              <c:f>Settings!$O$60</c:f>
              <c:strCache>
                <c:ptCount val="1"/>
                <c:pt idx="0">
                  <c:v>Continuous Process</c:v>
                </c:pt>
              </c:strCache>
            </c:strRef>
          </c:tx>
          <c:spPr>
            <a:solidFill>
              <a:srgbClr val="0072BC"/>
            </a:solidFill>
            <a:ln>
              <a:noFill/>
            </a:ln>
            <a:effectLst/>
          </c:spPr>
          <c:invertIfNegative val="0"/>
          <c:cat>
            <c:strRef>
              <c:f>Settings!$M$63</c:f>
              <c:strCache>
                <c:ptCount val="1"/>
                <c:pt idx="0">
                  <c:v>Buffer Consumption (L/g protein)</c:v>
                </c:pt>
              </c:strCache>
            </c:strRef>
          </c:cat>
          <c:val>
            <c:numRef>
              <c:f>Settings!$O$63</c:f>
              <c:numCache>
                <c:formatCode>0.0</c:formatCode>
                <c:ptCount val="1"/>
                <c:pt idx="0">
                  <c:v>0.28070175438596495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966-4792-8409-E47ABA6CB9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15883056"/>
        <c:axId val="715883448"/>
      </c:barChart>
      <c:catAx>
        <c:axId val="715883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5883448"/>
        <c:crosses val="autoZero"/>
        <c:auto val="1"/>
        <c:lblAlgn val="ctr"/>
        <c:lblOffset val="100"/>
        <c:noMultiLvlLbl val="0"/>
      </c:catAx>
      <c:valAx>
        <c:axId val="715883448"/>
        <c:scaling>
          <c:orientation val="minMax"/>
        </c:scaling>
        <c:delete val="1"/>
        <c:axPos val="l"/>
        <c:numFmt formatCode="0.0" sourceLinked="1"/>
        <c:majorTickMark val="none"/>
        <c:minorTickMark val="none"/>
        <c:tickLblPos val="nextTo"/>
        <c:crossAx val="715883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8" Type="http://schemas.microsoft.com/office/2007/relationships/hdphoto" Target="../media/hdphoto1.wdp"/><Relationship Id="rId3" Type="http://schemas.openxmlformats.org/officeDocument/2006/relationships/hyperlink" Target="#'Minimise cost'!A1"/><Relationship Id="rId7" Type="http://schemas.openxmlformats.org/officeDocument/2006/relationships/image" Target="../media/image4.png"/><Relationship Id="rId2" Type="http://schemas.openxmlformats.org/officeDocument/2006/relationships/image" Target="../media/image1.png"/><Relationship Id="rId1" Type="http://schemas.openxmlformats.org/officeDocument/2006/relationships/hyperlink" Target="http://www.perceptive-analytics.com/" TargetMode="External"/><Relationship Id="rId6" Type="http://schemas.openxmlformats.org/officeDocument/2006/relationships/image" Target="../media/image3.png"/><Relationship Id="rId11" Type="http://schemas.openxmlformats.org/officeDocument/2006/relationships/image" Target="../media/image6.png"/><Relationship Id="rId5" Type="http://schemas.openxmlformats.org/officeDocument/2006/relationships/hyperlink" Target="#'Reduce Process Time'!A1"/><Relationship Id="rId10" Type="http://schemas.openxmlformats.org/officeDocument/2006/relationships/image" Target="../media/image5.tiff"/><Relationship Id="rId4" Type="http://schemas.openxmlformats.org/officeDocument/2006/relationships/image" Target="../media/image2.png"/><Relationship Id="rId9" Type="http://schemas.openxmlformats.org/officeDocument/2006/relationships/hyperlink" Target="http://www.ymcpt.com/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microsoft.com/office/2007/relationships/hdphoto" Target="../media/hdphoto1.wdp"/><Relationship Id="rId13" Type="http://schemas.openxmlformats.org/officeDocument/2006/relationships/image" Target="../media/image13.png"/><Relationship Id="rId3" Type="http://schemas.openxmlformats.org/officeDocument/2006/relationships/hyperlink" Target="#'MAIN PAGE'!A1"/><Relationship Id="rId7" Type="http://schemas.openxmlformats.org/officeDocument/2006/relationships/image" Target="../media/image4.png"/><Relationship Id="rId12" Type="http://schemas.openxmlformats.org/officeDocument/2006/relationships/image" Target="../media/image12.jpeg"/><Relationship Id="rId2" Type="http://schemas.openxmlformats.org/officeDocument/2006/relationships/image" Target="../media/image2.png"/><Relationship Id="rId1" Type="http://schemas.openxmlformats.org/officeDocument/2006/relationships/image" Target="../media/image7.png"/><Relationship Id="rId6" Type="http://schemas.openxmlformats.org/officeDocument/2006/relationships/chart" Target="../charts/chart4.xml"/><Relationship Id="rId11" Type="http://schemas.openxmlformats.org/officeDocument/2006/relationships/hyperlink" Target="http://www.ymcpt.com/" TargetMode="External"/><Relationship Id="rId5" Type="http://schemas.openxmlformats.org/officeDocument/2006/relationships/chart" Target="../charts/chart3.xml"/><Relationship Id="rId10" Type="http://schemas.openxmlformats.org/officeDocument/2006/relationships/chart" Target="../charts/chart6.xml"/><Relationship Id="rId4" Type="http://schemas.openxmlformats.org/officeDocument/2006/relationships/image" Target="../media/image8.png"/><Relationship Id="rId9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image" Target="../media/image13.png"/><Relationship Id="rId3" Type="http://schemas.openxmlformats.org/officeDocument/2006/relationships/hyperlink" Target="#'MAIN PAGE'!A1"/><Relationship Id="rId7" Type="http://schemas.microsoft.com/office/2007/relationships/hdphoto" Target="../media/hdphoto1.wdp"/><Relationship Id="rId12" Type="http://schemas.openxmlformats.org/officeDocument/2006/relationships/image" Target="../media/image15.jpeg"/><Relationship Id="rId2" Type="http://schemas.openxmlformats.org/officeDocument/2006/relationships/image" Target="../media/image14.png"/><Relationship Id="rId1" Type="http://schemas.openxmlformats.org/officeDocument/2006/relationships/image" Target="../media/image7.png"/><Relationship Id="rId6" Type="http://schemas.openxmlformats.org/officeDocument/2006/relationships/image" Target="../media/image4.png"/><Relationship Id="rId11" Type="http://schemas.openxmlformats.org/officeDocument/2006/relationships/hyperlink" Target="http://www.lewa-inc.com/en/home/" TargetMode="External"/><Relationship Id="rId5" Type="http://schemas.openxmlformats.org/officeDocument/2006/relationships/chart" Target="../charts/chart7.xml"/><Relationship Id="rId10" Type="http://schemas.openxmlformats.org/officeDocument/2006/relationships/chart" Target="../charts/chart10.xml"/><Relationship Id="rId4" Type="http://schemas.openxmlformats.org/officeDocument/2006/relationships/image" Target="../media/image8.png"/><Relationship Id="rId9" Type="http://schemas.openxmlformats.org/officeDocument/2006/relationships/chart" Target="../charts/chart9.xm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7.png"/><Relationship Id="rId13" Type="http://schemas.openxmlformats.org/officeDocument/2006/relationships/hyperlink" Target="http://www.lewa-inc.com/en/home/" TargetMode="External"/><Relationship Id="rId3" Type="http://schemas.openxmlformats.org/officeDocument/2006/relationships/hyperlink" Target="#'Minimise cost'!A1"/><Relationship Id="rId7" Type="http://schemas.microsoft.com/office/2007/relationships/hdphoto" Target="../media/hdphoto1.wdp"/><Relationship Id="rId12" Type="http://schemas.openxmlformats.org/officeDocument/2006/relationships/chart" Target="../charts/chart13.xml"/><Relationship Id="rId2" Type="http://schemas.openxmlformats.org/officeDocument/2006/relationships/image" Target="../media/image8.png"/><Relationship Id="rId1" Type="http://schemas.openxmlformats.org/officeDocument/2006/relationships/hyperlink" Target="#'MAIN PAGE'!A1"/><Relationship Id="rId6" Type="http://schemas.openxmlformats.org/officeDocument/2006/relationships/image" Target="../media/image4.png"/><Relationship Id="rId11" Type="http://schemas.openxmlformats.org/officeDocument/2006/relationships/chart" Target="../charts/chart12.xml"/><Relationship Id="rId5" Type="http://schemas.microsoft.com/office/2007/relationships/hdphoto" Target="../media/hdphoto2.wdp"/><Relationship Id="rId15" Type="http://schemas.openxmlformats.org/officeDocument/2006/relationships/image" Target="../media/image19.png"/><Relationship Id="rId10" Type="http://schemas.openxmlformats.org/officeDocument/2006/relationships/chart" Target="../charts/chart11.xml"/><Relationship Id="rId4" Type="http://schemas.openxmlformats.org/officeDocument/2006/relationships/image" Target="../media/image16.png"/><Relationship Id="rId9" Type="http://schemas.microsoft.com/office/2007/relationships/hdphoto" Target="../media/hdphoto3.wdp"/><Relationship Id="rId14" Type="http://schemas.openxmlformats.org/officeDocument/2006/relationships/image" Target="../media/image18.jpe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7.png"/><Relationship Id="rId13" Type="http://schemas.openxmlformats.org/officeDocument/2006/relationships/hyperlink" Target="https://www.ymcpt.com/" TargetMode="External"/><Relationship Id="rId3" Type="http://schemas.openxmlformats.org/officeDocument/2006/relationships/hyperlink" Target="#'Reduce Process Time'!A1"/><Relationship Id="rId7" Type="http://schemas.microsoft.com/office/2007/relationships/hdphoto" Target="../media/hdphoto1.wdp"/><Relationship Id="rId12" Type="http://schemas.openxmlformats.org/officeDocument/2006/relationships/chart" Target="../charts/chart16.xml"/><Relationship Id="rId2" Type="http://schemas.openxmlformats.org/officeDocument/2006/relationships/image" Target="../media/image8.png"/><Relationship Id="rId1" Type="http://schemas.openxmlformats.org/officeDocument/2006/relationships/hyperlink" Target="#'MAIN PAGE'!A1"/><Relationship Id="rId6" Type="http://schemas.openxmlformats.org/officeDocument/2006/relationships/image" Target="../media/image4.png"/><Relationship Id="rId11" Type="http://schemas.openxmlformats.org/officeDocument/2006/relationships/chart" Target="../charts/chart15.xml"/><Relationship Id="rId5" Type="http://schemas.microsoft.com/office/2007/relationships/hdphoto" Target="../media/hdphoto2.wdp"/><Relationship Id="rId15" Type="http://schemas.openxmlformats.org/officeDocument/2006/relationships/image" Target="../media/image21.png"/><Relationship Id="rId10" Type="http://schemas.openxmlformats.org/officeDocument/2006/relationships/chart" Target="../charts/chart14.xml"/><Relationship Id="rId4" Type="http://schemas.openxmlformats.org/officeDocument/2006/relationships/image" Target="../media/image16.png"/><Relationship Id="rId9" Type="http://schemas.microsoft.com/office/2007/relationships/hdphoto" Target="../media/hdphoto3.wdp"/><Relationship Id="rId14" Type="http://schemas.openxmlformats.org/officeDocument/2006/relationships/image" Target="../media/image20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openxmlformats.org/officeDocument/2006/relationships/image" Target="../media/image8.png"/><Relationship Id="rId1" Type="http://schemas.openxmlformats.org/officeDocument/2006/relationships/hyperlink" Target="#'MAIN PAGE'!A1"/><Relationship Id="rId6" Type="http://schemas.openxmlformats.org/officeDocument/2006/relationships/image" Target="../media/image23.jpeg"/><Relationship Id="rId5" Type="http://schemas.openxmlformats.org/officeDocument/2006/relationships/hyperlink" Target="http://www.lewa-inc.com/en/home/" TargetMode="External"/><Relationship Id="rId4" Type="http://schemas.microsoft.com/office/2007/relationships/hdphoto" Target="../media/hdphoto4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485775</xdr:colOff>
      <xdr:row>46</xdr:row>
      <xdr:rowOff>171451</xdr:rowOff>
    </xdr:from>
    <xdr:to>
      <xdr:col>9</xdr:col>
      <xdr:colOff>1552575</xdr:colOff>
      <xdr:row>54</xdr:row>
      <xdr:rowOff>1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190500</xdr:colOff>
      <xdr:row>62</xdr:row>
      <xdr:rowOff>0</xdr:rowOff>
    </xdr:from>
    <xdr:to>
      <xdr:col>9</xdr:col>
      <xdr:colOff>1457325</xdr:colOff>
      <xdr:row>76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47625</xdr:colOff>
      <xdr:row>20</xdr:row>
      <xdr:rowOff>14</xdr:rowOff>
    </xdr:from>
    <xdr:to>
      <xdr:col>22</xdr:col>
      <xdr:colOff>154781</xdr:colOff>
      <xdr:row>23</xdr:row>
      <xdr:rowOff>93274</xdr:rowOff>
    </xdr:to>
    <xdr:pic>
      <xdr:nvPicPr>
        <xdr:cNvPr id="3" name="Pictur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858625" y="4762514"/>
          <a:ext cx="1928812" cy="664760"/>
        </a:xfrm>
        <a:prstGeom prst="rect">
          <a:avLst/>
        </a:prstGeom>
      </xdr:spPr>
    </xdr:pic>
    <xdr:clientData/>
  </xdr:twoCellAnchor>
  <xdr:twoCellAnchor editAs="absolute">
    <xdr:from>
      <xdr:col>12</xdr:col>
      <xdr:colOff>23815</xdr:colOff>
      <xdr:row>7</xdr:row>
      <xdr:rowOff>59534</xdr:rowOff>
    </xdr:from>
    <xdr:to>
      <xdr:col>13</xdr:col>
      <xdr:colOff>464346</xdr:colOff>
      <xdr:row>12</xdr:row>
      <xdr:rowOff>24656</xdr:rowOff>
    </xdr:to>
    <xdr:pic>
      <xdr:nvPicPr>
        <xdr:cNvPr id="5" name="Picture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duotone>
            <a:schemeClr val="accent1">
              <a:shade val="45000"/>
              <a:satMod val="135000"/>
            </a:schemeClr>
            <a:prstClr val="white"/>
          </a:duotone>
        </a:blip>
        <a:srcRect l="16063" r="15667"/>
        <a:stretch/>
      </xdr:blipFill>
      <xdr:spPr>
        <a:xfrm>
          <a:off x="7119940" y="1893097"/>
          <a:ext cx="1047750" cy="1072403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</xdr:pic>
    <xdr:clientData/>
  </xdr:twoCellAnchor>
  <xdr:twoCellAnchor editAs="absolute">
    <xdr:from>
      <xdr:col>12</xdr:col>
      <xdr:colOff>1</xdr:colOff>
      <xdr:row>12</xdr:row>
      <xdr:rowOff>214315</xdr:rowOff>
    </xdr:from>
    <xdr:to>
      <xdr:col>13</xdr:col>
      <xdr:colOff>428627</xdr:colOff>
      <xdr:row>17</xdr:row>
      <xdr:rowOff>60582</xdr:rowOff>
    </xdr:to>
    <xdr:pic>
      <xdr:nvPicPr>
        <xdr:cNvPr id="7" name="Picture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alphaModFix amt="99000"/>
          <a:duotone>
            <a:schemeClr val="accent1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7096126" y="3155159"/>
          <a:ext cx="1035845" cy="1001173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</xdr:pic>
    <xdr:clientData/>
  </xdr:twoCellAnchor>
  <xdr:twoCellAnchor editAs="absolute">
    <xdr:from>
      <xdr:col>0</xdr:col>
      <xdr:colOff>563564</xdr:colOff>
      <xdr:row>0</xdr:row>
      <xdr:rowOff>35718</xdr:rowOff>
    </xdr:from>
    <xdr:to>
      <xdr:col>20</xdr:col>
      <xdr:colOff>79375</xdr:colOff>
      <xdr:row>2</xdr:row>
      <xdr:rowOff>20478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>
          <a:spLocks/>
        </xdr:cNvSpPr>
      </xdr:nvSpPr>
      <xdr:spPr>
        <a:xfrm>
          <a:off x="563564" y="35718"/>
          <a:ext cx="12168186" cy="3657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2600" b="1">
              <a:latin typeface="+mj-lt"/>
            </a:rPr>
            <a:t> Economic</a:t>
          </a:r>
          <a:r>
            <a:rPr lang="en-US" sz="2600" b="1" baseline="0">
              <a:latin typeface="+mj-lt"/>
            </a:rPr>
            <a:t> &amp; Size </a:t>
          </a:r>
          <a:r>
            <a:rPr kumimoji="0" lang="en-US" sz="26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Calibri Light" panose="020F0302020204030204"/>
              <a:ea typeface="+mn-ea"/>
              <a:cs typeface="+mn-cs"/>
            </a:rPr>
            <a:t>Estimation Tool for Contichrom TWIN CaptureSMB LPLC Systems</a:t>
          </a:r>
          <a:endParaRPr lang="en-US" sz="2600" b="1">
            <a:latin typeface="+mj-lt"/>
          </a:endParaRPr>
        </a:p>
      </xdr:txBody>
    </xdr:sp>
    <xdr:clientData/>
  </xdr:twoCellAnchor>
  <xdr:twoCellAnchor editAs="absolute">
    <xdr:from>
      <xdr:col>23</xdr:col>
      <xdr:colOff>23817</xdr:colOff>
      <xdr:row>0</xdr:row>
      <xdr:rowOff>23812</xdr:rowOff>
    </xdr:from>
    <xdr:to>
      <xdr:col>25</xdr:col>
      <xdr:colOff>35728</xdr:colOff>
      <xdr:row>2</xdr:row>
      <xdr:rowOff>23817</xdr:rowOff>
    </xdr:to>
    <xdr:pic macro="[0]!PrintOut">
      <xdr:nvPicPr>
        <xdr:cNvPr id="12" name="Pictur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saturation sat="3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80348" y="23812"/>
          <a:ext cx="381005" cy="381005"/>
        </a:xfrm>
        <a:prstGeom prst="rect">
          <a:avLst/>
        </a:prstGeom>
      </xdr:spPr>
    </xdr:pic>
    <xdr:clientData/>
  </xdr:twoCellAnchor>
  <xdr:twoCellAnchor editAs="oneCell">
    <xdr:from>
      <xdr:col>21</xdr:col>
      <xdr:colOff>410417</xdr:colOff>
      <xdr:row>2</xdr:row>
      <xdr:rowOff>148812</xdr:rowOff>
    </xdr:from>
    <xdr:to>
      <xdr:col>24</xdr:col>
      <xdr:colOff>54886</xdr:colOff>
      <xdr:row>4</xdr:row>
      <xdr:rowOff>144096</xdr:rowOff>
    </xdr:to>
    <xdr:pic>
      <xdr:nvPicPr>
        <xdr:cNvPr id="16" name="Picture 15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3673980" y="529812"/>
          <a:ext cx="1065281" cy="376284"/>
        </a:xfrm>
        <a:prstGeom prst="rect">
          <a:avLst/>
        </a:prstGeom>
      </xdr:spPr>
    </xdr:pic>
    <xdr:clientData/>
  </xdr:twoCellAnchor>
  <xdr:twoCellAnchor editAs="oneCell">
    <xdr:from>
      <xdr:col>0</xdr:col>
      <xdr:colOff>436563</xdr:colOff>
      <xdr:row>4</xdr:row>
      <xdr:rowOff>142876</xdr:rowOff>
    </xdr:from>
    <xdr:to>
      <xdr:col>11</xdr:col>
      <xdr:colOff>82893</xdr:colOff>
      <xdr:row>19</xdr:row>
      <xdr:rowOff>5595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A1D4382-807B-49FC-B10C-DFF76C462F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436563" y="904876"/>
          <a:ext cx="6393205" cy="359334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280072</xdr:colOff>
      <xdr:row>19</xdr:row>
      <xdr:rowOff>6059</xdr:rowOff>
    </xdr:from>
    <xdr:to>
      <xdr:col>6</xdr:col>
      <xdr:colOff>212563</xdr:colOff>
      <xdr:row>21</xdr:row>
      <xdr:rowOff>42335</xdr:rowOff>
    </xdr:to>
    <xdr:pic>
      <xdr:nvPicPr>
        <xdr:cNvPr id="52" name="Picture 51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7147792">
          <a:off x="4187008" y="3921530"/>
          <a:ext cx="417276" cy="539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6</xdr:col>
      <xdr:colOff>223839</xdr:colOff>
      <xdr:row>3</xdr:row>
      <xdr:rowOff>2391</xdr:rowOff>
    </xdr:from>
    <xdr:to>
      <xdr:col>7</xdr:col>
      <xdr:colOff>404813</xdr:colOff>
      <xdr:row>5</xdr:row>
      <xdr:rowOff>122451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duotone>
            <a:schemeClr val="accent1">
              <a:shade val="45000"/>
              <a:satMod val="135000"/>
            </a:schemeClr>
            <a:prstClr val="white"/>
          </a:duotone>
        </a:blip>
        <a:srcRect l="14084" r="13381"/>
        <a:stretch/>
      </xdr:blipFill>
      <xdr:spPr>
        <a:xfrm>
          <a:off x="4676777" y="573891"/>
          <a:ext cx="788192" cy="762998"/>
        </a:xfrm>
        <a:prstGeom prst="rect">
          <a:avLst/>
        </a:prstGeom>
      </xdr:spPr>
    </xdr:pic>
    <xdr:clientData/>
  </xdr:twoCellAnchor>
  <xdr:twoCellAnchor editAs="absolute">
    <xdr:from>
      <xdr:col>0</xdr:col>
      <xdr:colOff>583419</xdr:colOff>
      <xdr:row>0</xdr:row>
      <xdr:rowOff>20838</xdr:rowOff>
    </xdr:from>
    <xdr:to>
      <xdr:col>1</xdr:col>
      <xdr:colOff>323672</xdr:colOff>
      <xdr:row>1</xdr:row>
      <xdr:rowOff>177810</xdr:rowOff>
    </xdr:to>
    <xdr:pic>
      <xdr:nvPicPr>
        <xdr:cNvPr id="22" name="Picture 2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419" y="20838"/>
          <a:ext cx="347472" cy="347472"/>
        </a:xfrm>
        <a:prstGeom prst="rect">
          <a:avLst/>
        </a:prstGeom>
      </xdr:spPr>
    </xdr:pic>
    <xdr:clientData/>
  </xdr:twoCellAnchor>
  <xdr:twoCellAnchor editAs="absolute">
    <xdr:from>
      <xdr:col>12</xdr:col>
      <xdr:colOff>488156</xdr:colOff>
      <xdr:row>7</xdr:row>
      <xdr:rowOff>119065</xdr:rowOff>
    </xdr:from>
    <xdr:to>
      <xdr:col>14</xdr:col>
      <xdr:colOff>257175</xdr:colOff>
      <xdr:row>12</xdr:row>
      <xdr:rowOff>133352</xdr:rowOff>
    </xdr:to>
    <xdr:graphicFrame macro="">
      <xdr:nvGraphicFramePr>
        <xdr:cNvPr id="50" name="Chart 2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absolute">
    <xdr:from>
      <xdr:col>12</xdr:col>
      <xdr:colOff>488156</xdr:colOff>
      <xdr:row>13</xdr:row>
      <xdr:rowOff>35719</xdr:rowOff>
    </xdr:from>
    <xdr:to>
      <xdr:col>14</xdr:col>
      <xdr:colOff>257175</xdr:colOff>
      <xdr:row>18</xdr:row>
      <xdr:rowOff>97631</xdr:rowOff>
    </xdr:to>
    <xdr:graphicFrame macro="">
      <xdr:nvGraphicFramePr>
        <xdr:cNvPr id="51" name="Chart 2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absolute">
    <xdr:from>
      <xdr:col>12</xdr:col>
      <xdr:colOff>604837</xdr:colOff>
      <xdr:row>7</xdr:row>
      <xdr:rowOff>107154</xdr:rowOff>
    </xdr:from>
    <xdr:to>
      <xdr:col>14</xdr:col>
      <xdr:colOff>164305</xdr:colOff>
      <xdr:row>8</xdr:row>
      <xdr:rowOff>178591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 txBox="1">
          <a:spLocks noChangeAspect="1"/>
        </xdr:cNvSpPr>
      </xdr:nvSpPr>
      <xdr:spPr>
        <a:xfrm>
          <a:off x="9046368" y="1702592"/>
          <a:ext cx="773906" cy="261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en-US" sz="1200"/>
            <a:t>V=d/t</a:t>
          </a:r>
        </a:p>
      </xdr:txBody>
    </xdr:sp>
    <xdr:clientData/>
  </xdr:twoCellAnchor>
  <xdr:twoCellAnchor editAs="absolute">
    <xdr:from>
      <xdr:col>12</xdr:col>
      <xdr:colOff>592931</xdr:colOff>
      <xdr:row>13</xdr:row>
      <xdr:rowOff>21419</xdr:rowOff>
    </xdr:from>
    <xdr:to>
      <xdr:col>14</xdr:col>
      <xdr:colOff>152399</xdr:colOff>
      <xdr:row>14</xdr:row>
      <xdr:rowOff>140481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 txBox="1">
          <a:spLocks noChangeAspect="1"/>
        </xdr:cNvSpPr>
      </xdr:nvSpPr>
      <xdr:spPr>
        <a:xfrm>
          <a:off x="9034462" y="2807482"/>
          <a:ext cx="773906" cy="3095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en-US" sz="1200"/>
            <a:t>V=d/t</a:t>
          </a:r>
        </a:p>
      </xdr:txBody>
    </xdr:sp>
    <xdr:clientData/>
  </xdr:twoCellAnchor>
  <xdr:twoCellAnchor editAs="absolute">
    <xdr:from>
      <xdr:col>20</xdr:col>
      <xdr:colOff>535780</xdr:colOff>
      <xdr:row>0</xdr:row>
      <xdr:rowOff>23813</xdr:rowOff>
    </xdr:from>
    <xdr:to>
      <xdr:col>21</xdr:col>
      <xdr:colOff>309567</xdr:colOff>
      <xdr:row>2</xdr:row>
      <xdr:rowOff>23818</xdr:rowOff>
    </xdr:to>
    <xdr:pic macro="[0]!PrintOut">
      <xdr:nvPicPr>
        <xdr:cNvPr id="6" name="Pictur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saturation sat="3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80343" y="23813"/>
          <a:ext cx="381005" cy="381005"/>
        </a:xfrm>
        <a:prstGeom prst="rect">
          <a:avLst/>
        </a:prstGeom>
      </xdr:spPr>
    </xdr:pic>
    <xdr:clientData/>
  </xdr:twoCellAnchor>
  <xdr:twoCellAnchor editAs="absolute">
    <xdr:from>
      <xdr:col>1</xdr:col>
      <xdr:colOff>7938</xdr:colOff>
      <xdr:row>0</xdr:row>
      <xdr:rowOff>35718</xdr:rowOff>
    </xdr:from>
    <xdr:to>
      <xdr:col>18</xdr:col>
      <xdr:colOff>801688</xdr:colOff>
      <xdr:row>2</xdr:row>
      <xdr:rowOff>20478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 txBox="1"/>
      </xdr:nvSpPr>
      <xdr:spPr>
        <a:xfrm>
          <a:off x="642938" y="35718"/>
          <a:ext cx="12811125" cy="3657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24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Economic</a:t>
          </a:r>
          <a:r>
            <a:rPr lang="en-US" sz="24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&amp; Size </a:t>
          </a:r>
          <a:r>
            <a:rPr lang="en-US" sz="24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Estimation Tool for Contichrom TWIN CaptureSMB LPLC Systems</a:t>
          </a:r>
          <a:endParaRPr lang="en-US" sz="4800" b="0">
            <a:latin typeface="+mn-lt"/>
          </a:endParaRPr>
        </a:p>
      </xdr:txBody>
    </xdr:sp>
    <xdr:clientData/>
  </xdr:twoCellAnchor>
  <xdr:twoCellAnchor editAs="absolute">
    <xdr:from>
      <xdr:col>10</xdr:col>
      <xdr:colOff>154755</xdr:colOff>
      <xdr:row>27</xdr:row>
      <xdr:rowOff>142880</xdr:rowOff>
    </xdr:from>
    <xdr:to>
      <xdr:col>12</xdr:col>
      <xdr:colOff>83316</xdr:colOff>
      <xdr:row>29</xdr:row>
      <xdr:rowOff>164216</xdr:rowOff>
    </xdr:to>
    <xdr:sp macro="[0]!formatCellsProcessOne" textlink="">
      <xdr:nvSpPr>
        <xdr:cNvPr id="19" name="Rectangle: Rounded Corners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Aspect="1"/>
        </xdr:cNvSpPr>
      </xdr:nvSpPr>
      <xdr:spPr>
        <a:xfrm>
          <a:off x="7036568" y="5691193"/>
          <a:ext cx="1488279" cy="402336"/>
        </a:xfrm>
        <a:prstGeom prst="roundRect">
          <a:avLst>
            <a:gd name="adj" fmla="val 0"/>
          </a:avLst>
        </a:prstGeom>
        <a:solidFill>
          <a:schemeClr val="bg2">
            <a:lumMod val="9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>
              <a:solidFill>
                <a:srgbClr val="002060"/>
              </a:solidFill>
            </a:rPr>
            <a:t>Result</a:t>
          </a:r>
        </a:p>
      </xdr:txBody>
    </xdr:sp>
    <xdr:clientData/>
  </xdr:twoCellAnchor>
  <xdr:twoCellAnchor editAs="absolute">
    <xdr:from>
      <xdr:col>4</xdr:col>
      <xdr:colOff>250033</xdr:colOff>
      <xdr:row>13</xdr:row>
      <xdr:rowOff>119065</xdr:rowOff>
    </xdr:from>
    <xdr:to>
      <xdr:col>6</xdr:col>
      <xdr:colOff>19052</xdr:colOff>
      <xdr:row>18</xdr:row>
      <xdr:rowOff>180977</xdr:rowOff>
    </xdr:to>
    <xdr:graphicFrame macro="">
      <xdr:nvGraphicFramePr>
        <xdr:cNvPr id="20" name="Chart 2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 editAs="absolute">
    <xdr:from>
      <xdr:col>4</xdr:col>
      <xdr:colOff>250033</xdr:colOff>
      <xdr:row>19</xdr:row>
      <xdr:rowOff>11900</xdr:rowOff>
    </xdr:from>
    <xdr:to>
      <xdr:col>6</xdr:col>
      <xdr:colOff>19052</xdr:colOff>
      <xdr:row>24</xdr:row>
      <xdr:rowOff>73812</xdr:rowOff>
    </xdr:to>
    <xdr:graphicFrame macro="">
      <xdr:nvGraphicFramePr>
        <xdr:cNvPr id="21" name="Chart 2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 editAs="oneCell">
    <xdr:from>
      <xdr:col>20</xdr:col>
      <xdr:colOff>71437</xdr:colOff>
      <xdr:row>2</xdr:row>
      <xdr:rowOff>120811</xdr:rowOff>
    </xdr:from>
    <xdr:to>
      <xdr:col>22</xdr:col>
      <xdr:colOff>168130</xdr:colOff>
      <xdr:row>4</xdr:row>
      <xdr:rowOff>26147</xdr:rowOff>
    </xdr:to>
    <xdr:pic>
      <xdr:nvPicPr>
        <xdr:cNvPr id="15" name="Picture 14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4358937" y="501811"/>
          <a:ext cx="1342881" cy="484774"/>
        </a:xfrm>
        <a:prstGeom prst="rect">
          <a:avLst/>
        </a:prstGeom>
      </xdr:spPr>
    </xdr:pic>
    <xdr:clientData/>
  </xdr:twoCellAnchor>
  <xdr:twoCellAnchor editAs="oneCell">
    <xdr:from>
      <xdr:col>19</xdr:col>
      <xdr:colOff>595312</xdr:colOff>
      <xdr:row>0</xdr:row>
      <xdr:rowOff>23812</xdr:rowOff>
    </xdr:from>
    <xdr:to>
      <xdr:col>20</xdr:col>
      <xdr:colOff>353853</xdr:colOff>
      <xdr:row>2</xdr:row>
      <xdr:rowOff>8572</xdr:rowOff>
    </xdr:to>
    <xdr:pic macro="[0]!Sheet3.resetvalues">
      <xdr:nvPicPr>
        <xdr:cNvPr id="16" name="Picture 15" descr="Image result for reset icon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 cstate="print">
          <a:duotone>
            <a:schemeClr val="accent5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453" t="22135" r="26518" b="20573"/>
        <a:stretch/>
      </xdr:blipFill>
      <xdr:spPr bwMode="auto">
        <a:xfrm>
          <a:off x="13632656" y="23812"/>
          <a:ext cx="365760" cy="365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285755</xdr:colOff>
      <xdr:row>18</xdr:row>
      <xdr:rowOff>190496</xdr:rowOff>
    </xdr:from>
    <xdr:to>
      <xdr:col>6</xdr:col>
      <xdr:colOff>218246</xdr:colOff>
      <xdr:row>21</xdr:row>
      <xdr:rowOff>36272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alphaModFix/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7147792">
          <a:off x="4192691" y="3915467"/>
          <a:ext cx="417276" cy="539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10</xdr:col>
      <xdr:colOff>302420</xdr:colOff>
      <xdr:row>2</xdr:row>
      <xdr:rowOff>176216</xdr:rowOff>
    </xdr:from>
    <xdr:to>
      <xdr:col>11</xdr:col>
      <xdr:colOff>483966</xdr:colOff>
      <xdr:row>5</xdr:row>
      <xdr:rowOff>110674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duotone>
            <a:schemeClr val="accent1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7312820" y="538166"/>
          <a:ext cx="810196" cy="753608"/>
        </a:xfrm>
        <a:prstGeom prst="rect">
          <a:avLst/>
        </a:prstGeom>
      </xdr:spPr>
    </xdr:pic>
    <xdr:clientData/>
  </xdr:twoCellAnchor>
  <xdr:twoCellAnchor editAs="absolute">
    <xdr:from>
      <xdr:col>0</xdr:col>
      <xdr:colOff>583403</xdr:colOff>
      <xdr:row>0</xdr:row>
      <xdr:rowOff>20835</xdr:rowOff>
    </xdr:from>
    <xdr:to>
      <xdr:col>1</xdr:col>
      <xdr:colOff>323656</xdr:colOff>
      <xdr:row>1</xdr:row>
      <xdr:rowOff>177807</xdr:rowOff>
    </xdr:to>
    <xdr:pic>
      <xdr:nvPicPr>
        <xdr:cNvPr id="29" name="Picture 2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403" y="20835"/>
          <a:ext cx="347472" cy="347472"/>
        </a:xfrm>
        <a:prstGeom prst="rect">
          <a:avLst/>
        </a:prstGeom>
      </xdr:spPr>
    </xdr:pic>
    <xdr:clientData/>
  </xdr:twoCellAnchor>
  <xdr:twoCellAnchor editAs="absolute">
    <xdr:from>
      <xdr:col>12</xdr:col>
      <xdr:colOff>488158</xdr:colOff>
      <xdr:row>7</xdr:row>
      <xdr:rowOff>119069</xdr:rowOff>
    </xdr:from>
    <xdr:to>
      <xdr:col>14</xdr:col>
      <xdr:colOff>257177</xdr:colOff>
      <xdr:row>12</xdr:row>
      <xdr:rowOff>133356</xdr:rowOff>
    </xdr:to>
    <xdr:graphicFrame macro="">
      <xdr:nvGraphicFramePr>
        <xdr:cNvPr id="10" name="Chart 2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absolute">
    <xdr:from>
      <xdr:col>13</xdr:col>
      <xdr:colOff>0</xdr:colOff>
      <xdr:row>7</xdr:row>
      <xdr:rowOff>107158</xdr:rowOff>
    </xdr:from>
    <xdr:to>
      <xdr:col>14</xdr:col>
      <xdr:colOff>166687</xdr:colOff>
      <xdr:row>8</xdr:row>
      <xdr:rowOff>178595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>
          <a:spLocks noChangeAspect="1"/>
        </xdr:cNvSpPr>
      </xdr:nvSpPr>
      <xdr:spPr>
        <a:xfrm>
          <a:off x="9048750" y="1702596"/>
          <a:ext cx="773906" cy="261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en-US" sz="1200"/>
            <a:t>V=d/t</a:t>
          </a:r>
        </a:p>
      </xdr:txBody>
    </xdr:sp>
    <xdr:clientData/>
  </xdr:twoCellAnchor>
  <xdr:twoCellAnchor editAs="absolute">
    <xdr:from>
      <xdr:col>2</xdr:col>
      <xdr:colOff>785813</xdr:colOff>
      <xdr:row>0</xdr:row>
      <xdr:rowOff>35717</xdr:rowOff>
    </xdr:from>
    <xdr:to>
      <xdr:col>18</xdr:col>
      <xdr:colOff>206375</xdr:colOff>
      <xdr:row>2</xdr:row>
      <xdr:rowOff>20477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 txBox="1"/>
      </xdr:nvSpPr>
      <xdr:spPr>
        <a:xfrm>
          <a:off x="2008188" y="35717"/>
          <a:ext cx="10652125" cy="34988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24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Economic</a:t>
          </a:r>
          <a:r>
            <a:rPr lang="en-US" sz="24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&amp; Size </a:t>
          </a:r>
          <a:r>
            <a:rPr lang="en-US" sz="24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Estimation Tool for Contichrom TWIN CaptureSMB LPLC Systems</a:t>
          </a:r>
          <a:endParaRPr lang="en-US" sz="5400">
            <a:effectLst/>
          </a:endParaRPr>
        </a:p>
      </xdr:txBody>
    </xdr:sp>
    <xdr:clientData/>
  </xdr:twoCellAnchor>
  <xdr:twoCellAnchor editAs="absolute">
    <xdr:from>
      <xdr:col>20</xdr:col>
      <xdr:colOff>535778</xdr:colOff>
      <xdr:row>0</xdr:row>
      <xdr:rowOff>23812</xdr:rowOff>
    </xdr:from>
    <xdr:to>
      <xdr:col>21</xdr:col>
      <xdr:colOff>309565</xdr:colOff>
      <xdr:row>2</xdr:row>
      <xdr:rowOff>23817</xdr:rowOff>
    </xdr:to>
    <xdr:pic macro="[0]!PrintOut">
      <xdr:nvPicPr>
        <xdr:cNvPr id="15" name="Picture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BEBA8EAE-BF5A-486C-A8C5-ECC9F3942E4B}">
              <a14:imgProps xmlns:a14="http://schemas.microsoft.com/office/drawing/2010/main">
                <a14:imgLayer r:embed="rId7">
                  <a14:imgEffect>
                    <a14:saturation sat="3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80341" y="23812"/>
          <a:ext cx="381005" cy="381005"/>
        </a:xfrm>
        <a:prstGeom prst="rect">
          <a:avLst/>
        </a:prstGeom>
      </xdr:spPr>
    </xdr:pic>
    <xdr:clientData/>
  </xdr:twoCellAnchor>
  <xdr:twoCellAnchor editAs="absolute">
    <xdr:from>
      <xdr:col>10</xdr:col>
      <xdr:colOff>154753</xdr:colOff>
      <xdr:row>27</xdr:row>
      <xdr:rowOff>142880</xdr:rowOff>
    </xdr:from>
    <xdr:to>
      <xdr:col>12</xdr:col>
      <xdr:colOff>83314</xdr:colOff>
      <xdr:row>29</xdr:row>
      <xdr:rowOff>164216</xdr:rowOff>
    </xdr:to>
    <xdr:sp macro="[0]!formatCellsProcesstwo" textlink="">
      <xdr:nvSpPr>
        <xdr:cNvPr id="16" name="Rectangle: Rounded Corners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Aspect="1"/>
        </xdr:cNvSpPr>
      </xdr:nvSpPr>
      <xdr:spPr>
        <a:xfrm>
          <a:off x="7036566" y="5691193"/>
          <a:ext cx="1488279" cy="402336"/>
        </a:xfrm>
        <a:prstGeom prst="roundRect">
          <a:avLst>
            <a:gd name="adj" fmla="val 0"/>
          </a:avLst>
        </a:prstGeom>
        <a:solidFill>
          <a:schemeClr val="bg2">
            <a:lumMod val="9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>
              <a:solidFill>
                <a:srgbClr val="002060"/>
              </a:solidFill>
            </a:rPr>
            <a:t>Result</a:t>
          </a:r>
        </a:p>
      </xdr:txBody>
    </xdr:sp>
    <xdr:clientData/>
  </xdr:twoCellAnchor>
  <xdr:twoCellAnchor editAs="absolute">
    <xdr:from>
      <xdr:col>12</xdr:col>
      <xdr:colOff>488159</xdr:colOff>
      <xdr:row>13</xdr:row>
      <xdr:rowOff>38120</xdr:rowOff>
    </xdr:from>
    <xdr:to>
      <xdr:col>14</xdr:col>
      <xdr:colOff>257178</xdr:colOff>
      <xdr:row>18</xdr:row>
      <xdr:rowOff>100032</xdr:rowOff>
    </xdr:to>
    <xdr:graphicFrame macro="">
      <xdr:nvGraphicFramePr>
        <xdr:cNvPr id="20" name="Chart 2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 editAs="absolute">
    <xdr:from>
      <xdr:col>12</xdr:col>
      <xdr:colOff>592936</xdr:colOff>
      <xdr:row>13</xdr:row>
      <xdr:rowOff>11914</xdr:rowOff>
    </xdr:from>
    <xdr:to>
      <xdr:col>14</xdr:col>
      <xdr:colOff>152404</xdr:colOff>
      <xdr:row>14</xdr:row>
      <xdr:rowOff>130976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 txBox="1">
          <a:spLocks noChangeAspect="1"/>
        </xdr:cNvSpPr>
      </xdr:nvSpPr>
      <xdr:spPr>
        <a:xfrm>
          <a:off x="9034467" y="2797977"/>
          <a:ext cx="773906" cy="3095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en-US" sz="1200"/>
            <a:t>V=d/t</a:t>
          </a:r>
        </a:p>
      </xdr:txBody>
    </xdr:sp>
    <xdr:clientData/>
  </xdr:twoCellAnchor>
  <xdr:twoCellAnchor editAs="absolute">
    <xdr:from>
      <xdr:col>4</xdr:col>
      <xdr:colOff>250039</xdr:colOff>
      <xdr:row>19</xdr:row>
      <xdr:rowOff>11904</xdr:rowOff>
    </xdr:from>
    <xdr:to>
      <xdr:col>6</xdr:col>
      <xdr:colOff>19058</xdr:colOff>
      <xdr:row>24</xdr:row>
      <xdr:rowOff>73816</xdr:rowOff>
    </xdr:to>
    <xdr:graphicFrame macro="">
      <xdr:nvGraphicFramePr>
        <xdr:cNvPr id="22" name="Chart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 editAs="absolute">
    <xdr:from>
      <xdr:col>4</xdr:col>
      <xdr:colOff>250034</xdr:colOff>
      <xdr:row>13</xdr:row>
      <xdr:rowOff>119063</xdr:rowOff>
    </xdr:from>
    <xdr:to>
      <xdr:col>6</xdr:col>
      <xdr:colOff>19053</xdr:colOff>
      <xdr:row>18</xdr:row>
      <xdr:rowOff>180975</xdr:rowOff>
    </xdr:to>
    <xdr:graphicFrame macro="">
      <xdr:nvGraphicFramePr>
        <xdr:cNvPr id="23" name="Chart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 editAs="oneCell">
    <xdr:from>
      <xdr:col>20</xdr:col>
      <xdr:colOff>71437</xdr:colOff>
      <xdr:row>2</xdr:row>
      <xdr:rowOff>129084</xdr:rowOff>
    </xdr:from>
    <xdr:to>
      <xdr:col>22</xdr:col>
      <xdr:colOff>168133</xdr:colOff>
      <xdr:row>4</xdr:row>
      <xdr:rowOff>17888</xdr:rowOff>
    </xdr:to>
    <xdr:pic>
      <xdr:nvPicPr>
        <xdr:cNvPr id="17" name="Picture 16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4160500" y="494209"/>
          <a:ext cx="1319071" cy="476179"/>
        </a:xfrm>
        <a:prstGeom prst="rect">
          <a:avLst/>
        </a:prstGeom>
      </xdr:spPr>
    </xdr:pic>
    <xdr:clientData/>
  </xdr:twoCellAnchor>
  <xdr:twoCellAnchor editAs="oneCell">
    <xdr:from>
      <xdr:col>19</xdr:col>
      <xdr:colOff>595313</xdr:colOff>
      <xdr:row>0</xdr:row>
      <xdr:rowOff>23812</xdr:rowOff>
    </xdr:from>
    <xdr:to>
      <xdr:col>20</xdr:col>
      <xdr:colOff>353854</xdr:colOff>
      <xdr:row>2</xdr:row>
      <xdr:rowOff>8572</xdr:rowOff>
    </xdr:to>
    <xdr:pic macro="[0]!Sheet3.resetvalues">
      <xdr:nvPicPr>
        <xdr:cNvPr id="18" name="Picture 17" descr="Image result for reset icon">
          <a:extLst>
            <a:ext uri="{FF2B5EF4-FFF2-40B4-BE49-F238E27FC236}">
              <a16:creationId xmlns:a16="http://schemas.microsoft.com/office/drawing/2014/main" id="{4BFFCE49-C47D-4DCC-8A87-D78527947D9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 cstate="print">
          <a:duotone>
            <a:schemeClr val="accent5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453" t="22135" r="26518" b="20573"/>
        <a:stretch/>
      </xdr:blipFill>
      <xdr:spPr bwMode="auto">
        <a:xfrm>
          <a:off x="13632657" y="23812"/>
          <a:ext cx="365760" cy="365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583409</xdr:colOff>
      <xdr:row>0</xdr:row>
      <xdr:rowOff>20837</xdr:rowOff>
    </xdr:from>
    <xdr:to>
      <xdr:col>0</xdr:col>
      <xdr:colOff>930881</xdr:colOff>
      <xdr:row>1</xdr:row>
      <xdr:rowOff>177809</xdr:rowOff>
    </xdr:to>
    <xdr:pic>
      <xdr:nvPicPr>
        <xdr:cNvPr id="13" name="Picture 1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409" y="20837"/>
          <a:ext cx="347472" cy="347472"/>
        </a:xfrm>
        <a:prstGeom prst="rect">
          <a:avLst/>
        </a:prstGeom>
      </xdr:spPr>
    </xdr:pic>
    <xdr:clientData/>
  </xdr:twoCellAnchor>
  <xdr:twoCellAnchor editAs="absolute">
    <xdr:from>
      <xdr:col>0</xdr:col>
      <xdr:colOff>95250</xdr:colOff>
      <xdr:row>0</xdr:row>
      <xdr:rowOff>19386</xdr:rowOff>
    </xdr:from>
    <xdr:to>
      <xdr:col>0</xdr:col>
      <xdr:colOff>442722</xdr:colOff>
      <xdr:row>1</xdr:row>
      <xdr:rowOff>178985</xdr:rowOff>
    </xdr:to>
    <xdr:pic>
      <xdr:nvPicPr>
        <xdr:cNvPr id="14" name="Picture 1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saturation sat="3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19386"/>
          <a:ext cx="347472" cy="350099"/>
        </a:xfrm>
        <a:prstGeom prst="rect">
          <a:avLst/>
        </a:prstGeom>
      </xdr:spPr>
    </xdr:pic>
    <xdr:clientData/>
  </xdr:twoCellAnchor>
  <xdr:twoCellAnchor editAs="absolute">
    <xdr:from>
      <xdr:col>0</xdr:col>
      <xdr:colOff>2476500</xdr:colOff>
      <xdr:row>0</xdr:row>
      <xdr:rowOff>35715</xdr:rowOff>
    </xdr:from>
    <xdr:to>
      <xdr:col>14</xdr:col>
      <xdr:colOff>23811</xdr:colOff>
      <xdr:row>2</xdr:row>
      <xdr:rowOff>20475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/>
      </xdr:nvSpPr>
      <xdr:spPr>
        <a:xfrm>
          <a:off x="2476500" y="35715"/>
          <a:ext cx="9048749" cy="34988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2600" b="1">
              <a:latin typeface="+mj-lt"/>
            </a:rPr>
            <a:t>Minimize Protein A (resin</a:t>
          </a:r>
          <a:r>
            <a:rPr lang="en-US" sz="2600" b="1" baseline="0">
              <a:latin typeface="+mj-lt"/>
            </a:rPr>
            <a:t>) cost using Contichrom TWIN LPLC</a:t>
          </a:r>
          <a:endParaRPr lang="en-US" sz="2600" b="1">
            <a:latin typeface="+mj-lt"/>
          </a:endParaRPr>
        </a:p>
      </xdr:txBody>
    </xdr:sp>
    <xdr:clientData/>
  </xdr:twoCellAnchor>
  <xdr:twoCellAnchor editAs="absolute">
    <xdr:from>
      <xdr:col>19</xdr:col>
      <xdr:colOff>321466</xdr:colOff>
      <xdr:row>0</xdr:row>
      <xdr:rowOff>23812</xdr:rowOff>
    </xdr:from>
    <xdr:to>
      <xdr:col>20</xdr:col>
      <xdr:colOff>130971</xdr:colOff>
      <xdr:row>2</xdr:row>
      <xdr:rowOff>23817</xdr:rowOff>
    </xdr:to>
    <xdr:pic macro="[0]!PrintOut">
      <xdr:nvPicPr>
        <xdr:cNvPr id="7" name="Picture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BEBA8EAE-BF5A-486C-A8C5-ECC9F3942E4B}">
              <a14:imgProps xmlns:a14="http://schemas.microsoft.com/office/drawing/2010/main">
                <a14:imgLayer r:embed="rId7">
                  <a14:imgEffect>
                    <a14:saturation sat="3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80341" y="23812"/>
          <a:ext cx="381005" cy="381005"/>
        </a:xfrm>
        <a:prstGeom prst="rect">
          <a:avLst/>
        </a:prstGeom>
      </xdr:spPr>
    </xdr:pic>
    <xdr:clientData/>
  </xdr:twoCellAnchor>
  <xdr:twoCellAnchor editAs="absolute">
    <xdr:from>
      <xdr:col>0</xdr:col>
      <xdr:colOff>357227</xdr:colOff>
      <xdr:row>12</xdr:row>
      <xdr:rowOff>93860</xdr:rowOff>
    </xdr:from>
    <xdr:to>
      <xdr:col>0</xdr:col>
      <xdr:colOff>1829998</xdr:colOff>
      <xdr:row>16</xdr:row>
      <xdr:rowOff>130963</xdr:rowOff>
    </xdr:to>
    <xdr:pic>
      <xdr:nvPicPr>
        <xdr:cNvPr id="11" name="Picture 10" descr="Image result for money saved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saturation sat="2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227" y="2951360"/>
          <a:ext cx="1472771" cy="15372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142862</xdr:colOff>
      <xdr:row>2</xdr:row>
      <xdr:rowOff>119062</xdr:rowOff>
    </xdr:from>
    <xdr:to>
      <xdr:col>15</xdr:col>
      <xdr:colOff>529782</xdr:colOff>
      <xdr:row>12</xdr:row>
      <xdr:rowOff>47625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6881800" y="484187"/>
          <a:ext cx="5744732" cy="2365376"/>
          <a:chOff x="7691424" y="960896"/>
          <a:chExt cx="5530420" cy="1672386"/>
        </a:xfrm>
        <a:solidFill>
          <a:srgbClr val="1F4E78"/>
        </a:solidFill>
      </xdr:grpSpPr>
      <xdr:graphicFrame macro="">
        <xdr:nvGraphicFramePr>
          <xdr:cNvPr id="10" name="Chart 9">
            <a:extLst>
              <a:ext uri="{FF2B5EF4-FFF2-40B4-BE49-F238E27FC236}">
                <a16:creationId xmlns:a16="http://schemas.microsoft.com/office/drawing/2014/main" id="{00000000-0008-0000-0400-00000A000000}"/>
              </a:ext>
            </a:extLst>
          </xdr:cNvPr>
          <xdr:cNvGraphicFramePr>
            <a:graphicFrameLocks/>
          </xdr:cNvGraphicFramePr>
        </xdr:nvGraphicFramePr>
        <xdr:xfrm>
          <a:off x="7691424" y="1023938"/>
          <a:ext cx="2029968" cy="160934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0"/>
          </a:graphicData>
        </a:graphic>
      </xdr:graphicFrame>
      <xdr:graphicFrame macro="">
        <xdr:nvGraphicFramePr>
          <xdr:cNvPr id="15" name="Chart 14">
            <a:extLst>
              <a:ext uri="{FF2B5EF4-FFF2-40B4-BE49-F238E27FC236}">
                <a16:creationId xmlns:a16="http://schemas.microsoft.com/office/drawing/2014/main" id="{00000000-0008-0000-0400-00000F000000}"/>
              </a:ext>
            </a:extLst>
          </xdr:cNvPr>
          <xdr:cNvGraphicFramePr>
            <a:graphicFrameLocks/>
          </xdr:cNvGraphicFramePr>
        </xdr:nvGraphicFramePr>
        <xdr:xfrm>
          <a:off x="9441656" y="960896"/>
          <a:ext cx="2029968" cy="167238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1"/>
          </a:graphicData>
        </a:graphic>
      </xdr:graphicFrame>
      <xdr:graphicFrame macro="">
        <xdr:nvGraphicFramePr>
          <xdr:cNvPr id="16" name="Chart 15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GraphicFramePr>
            <a:graphicFrameLocks/>
          </xdr:cNvGraphicFramePr>
        </xdr:nvGraphicFramePr>
        <xdr:xfrm>
          <a:off x="11191876" y="1023938"/>
          <a:ext cx="2029968" cy="160934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2"/>
          </a:graphicData>
        </a:graphic>
      </xdr:graphicFrame>
    </xdr:grpSp>
    <xdr:clientData/>
  </xdr:twoCellAnchor>
  <xdr:twoCellAnchor editAs="oneCell">
    <xdr:from>
      <xdr:col>18</xdr:col>
      <xdr:colOff>488156</xdr:colOff>
      <xdr:row>2</xdr:row>
      <xdr:rowOff>141313</xdr:rowOff>
    </xdr:from>
    <xdr:to>
      <xdr:col>21</xdr:col>
      <xdr:colOff>25271</xdr:colOff>
      <xdr:row>4</xdr:row>
      <xdr:rowOff>253804</xdr:rowOff>
    </xdr:to>
    <xdr:pic>
      <xdr:nvPicPr>
        <xdr:cNvPr id="17" name="Picture 16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4370844" y="506438"/>
          <a:ext cx="1323052" cy="477616"/>
        </a:xfrm>
        <a:prstGeom prst="rect">
          <a:avLst/>
        </a:prstGeom>
      </xdr:spPr>
    </xdr:pic>
    <xdr:clientData/>
  </xdr:twoCellAnchor>
  <xdr:twoCellAnchor editAs="oneCell">
    <xdr:from>
      <xdr:col>18</xdr:col>
      <xdr:colOff>0</xdr:colOff>
      <xdr:row>8</xdr:row>
      <xdr:rowOff>0</xdr:rowOff>
    </xdr:from>
    <xdr:to>
      <xdr:col>25</xdr:col>
      <xdr:colOff>485037</xdr:colOff>
      <xdr:row>19</xdr:row>
      <xdr:rowOff>10963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A59E049B-ED61-4120-9CED-9AB0EBA728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3706475" y="1743075"/>
          <a:ext cx="4676037" cy="340186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583407</xdr:colOff>
      <xdr:row>0</xdr:row>
      <xdr:rowOff>25263</xdr:rowOff>
    </xdr:from>
    <xdr:to>
      <xdr:col>0</xdr:col>
      <xdr:colOff>930879</xdr:colOff>
      <xdr:row>2</xdr:row>
      <xdr:rowOff>1260</xdr:rowOff>
    </xdr:to>
    <xdr:pic>
      <xdr:nvPicPr>
        <xdr:cNvPr id="5" name="Pictur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407" y="25263"/>
          <a:ext cx="347472" cy="347472"/>
        </a:xfrm>
        <a:prstGeom prst="rect">
          <a:avLst/>
        </a:prstGeom>
      </xdr:spPr>
    </xdr:pic>
    <xdr:clientData/>
  </xdr:twoCellAnchor>
  <xdr:twoCellAnchor editAs="absolute">
    <xdr:from>
      <xdr:col>0</xdr:col>
      <xdr:colOff>95248</xdr:colOff>
      <xdr:row>0</xdr:row>
      <xdr:rowOff>23812</xdr:rowOff>
    </xdr:from>
    <xdr:to>
      <xdr:col>0</xdr:col>
      <xdr:colOff>442720</xdr:colOff>
      <xdr:row>2</xdr:row>
      <xdr:rowOff>2436</xdr:rowOff>
    </xdr:to>
    <xdr:pic>
      <xdr:nvPicPr>
        <xdr:cNvPr id="6" name="Pictur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saturation sat="3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48" y="23812"/>
          <a:ext cx="347472" cy="350099"/>
        </a:xfrm>
        <a:prstGeom prst="rect">
          <a:avLst/>
        </a:prstGeom>
      </xdr:spPr>
    </xdr:pic>
    <xdr:clientData/>
  </xdr:twoCellAnchor>
  <xdr:twoCellAnchor editAs="absolute">
    <xdr:from>
      <xdr:col>0</xdr:col>
      <xdr:colOff>2103438</xdr:colOff>
      <xdr:row>0</xdr:row>
      <xdr:rowOff>19842</xdr:rowOff>
    </xdr:from>
    <xdr:to>
      <xdr:col>13</xdr:col>
      <xdr:colOff>47625</xdr:colOff>
      <xdr:row>2</xdr:row>
      <xdr:rowOff>4602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 txBox="1"/>
      </xdr:nvSpPr>
      <xdr:spPr>
        <a:xfrm>
          <a:off x="2103438" y="19842"/>
          <a:ext cx="8850312" cy="34988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2400" b="0">
              <a:latin typeface="+mn-lt"/>
            </a:rPr>
            <a:t>Increase my process productivity </a:t>
          </a:r>
          <a:r>
            <a:rPr lang="en-US" sz="24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using Contichrom TWIN</a:t>
          </a:r>
          <a:r>
            <a:rPr lang="en-US" sz="2400" b="0">
              <a:latin typeface="+mn-lt"/>
            </a:rPr>
            <a:t> LPLC</a:t>
          </a:r>
        </a:p>
      </xdr:txBody>
    </xdr:sp>
    <xdr:clientData/>
  </xdr:twoCellAnchor>
  <xdr:twoCellAnchor editAs="absolute">
    <xdr:from>
      <xdr:col>19</xdr:col>
      <xdr:colOff>321468</xdr:colOff>
      <xdr:row>0</xdr:row>
      <xdr:rowOff>23812</xdr:rowOff>
    </xdr:from>
    <xdr:to>
      <xdr:col>20</xdr:col>
      <xdr:colOff>130973</xdr:colOff>
      <xdr:row>2</xdr:row>
      <xdr:rowOff>23817</xdr:rowOff>
    </xdr:to>
    <xdr:pic macro="[0]!PrintOut">
      <xdr:nvPicPr>
        <xdr:cNvPr id="9" name="Picture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BEBA8EAE-BF5A-486C-A8C5-ECC9F3942E4B}">
              <a14:imgProps xmlns:a14="http://schemas.microsoft.com/office/drawing/2010/main">
                <a14:imgLayer r:embed="rId7">
                  <a14:imgEffect>
                    <a14:saturation sat="3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80343" y="23812"/>
          <a:ext cx="381005" cy="381005"/>
        </a:xfrm>
        <a:prstGeom prst="rect">
          <a:avLst/>
        </a:prstGeom>
      </xdr:spPr>
    </xdr:pic>
    <xdr:clientData/>
  </xdr:twoCellAnchor>
  <xdr:twoCellAnchor editAs="absolute">
    <xdr:from>
      <xdr:col>0</xdr:col>
      <xdr:colOff>280987</xdr:colOff>
      <xdr:row>11</xdr:row>
      <xdr:rowOff>390525</xdr:rowOff>
    </xdr:from>
    <xdr:to>
      <xdr:col>0</xdr:col>
      <xdr:colOff>1753758</xdr:colOff>
      <xdr:row>16</xdr:row>
      <xdr:rowOff>27578</xdr:rowOff>
    </xdr:to>
    <xdr:pic>
      <xdr:nvPicPr>
        <xdr:cNvPr id="10" name="Picture 9" descr="Image result for money saved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saturation sat="2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987" y="2781300"/>
          <a:ext cx="1472771" cy="15230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154779</xdr:colOff>
      <xdr:row>2</xdr:row>
      <xdr:rowOff>119062</xdr:rowOff>
    </xdr:from>
    <xdr:to>
      <xdr:col>15</xdr:col>
      <xdr:colOff>487680</xdr:colOff>
      <xdr:row>12</xdr:row>
      <xdr:rowOff>209550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pSpPr/>
      </xdr:nvGrpSpPr>
      <xdr:grpSpPr>
        <a:xfrm>
          <a:off x="6893717" y="484187"/>
          <a:ext cx="5690713" cy="2527301"/>
          <a:chOff x="6584156" y="666751"/>
          <a:chExt cx="5476401" cy="1607344"/>
        </a:xfrm>
      </xdr:grpSpPr>
      <xdr:graphicFrame macro="">
        <xdr:nvGraphicFramePr>
          <xdr:cNvPr id="13" name="Chart 12">
            <a:extLst>
              <a:ext uri="{FF2B5EF4-FFF2-40B4-BE49-F238E27FC236}">
                <a16:creationId xmlns:a16="http://schemas.microsoft.com/office/drawing/2014/main" id="{00000000-0008-0000-0500-00000D000000}"/>
              </a:ext>
            </a:extLst>
          </xdr:cNvPr>
          <xdr:cNvGraphicFramePr>
            <a:graphicFrameLocks/>
          </xdr:cNvGraphicFramePr>
        </xdr:nvGraphicFramePr>
        <xdr:xfrm>
          <a:off x="6584156" y="666751"/>
          <a:ext cx="2011680" cy="160734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0"/>
          </a:graphicData>
        </a:graphic>
      </xdr:graphicFrame>
      <xdr:graphicFrame macro="">
        <xdr:nvGraphicFramePr>
          <xdr:cNvPr id="14" name="Chart 13">
            <a:extLst>
              <a:ext uri="{FF2B5EF4-FFF2-40B4-BE49-F238E27FC236}">
                <a16:creationId xmlns:a16="http://schemas.microsoft.com/office/drawing/2014/main" id="{00000000-0008-0000-0500-00000E000000}"/>
              </a:ext>
            </a:extLst>
          </xdr:cNvPr>
          <xdr:cNvGraphicFramePr>
            <a:graphicFrameLocks/>
          </xdr:cNvGraphicFramePr>
        </xdr:nvGraphicFramePr>
        <xdr:xfrm>
          <a:off x="8328422" y="666751"/>
          <a:ext cx="2011680" cy="160734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1"/>
          </a:graphicData>
        </a:graphic>
      </xdr:graphicFrame>
      <xdr:graphicFrame macro="">
        <xdr:nvGraphicFramePr>
          <xdr:cNvPr id="15" name="Chart 14">
            <a:extLst>
              <a:ext uri="{FF2B5EF4-FFF2-40B4-BE49-F238E27FC236}">
                <a16:creationId xmlns:a16="http://schemas.microsoft.com/office/drawing/2014/main" id="{00000000-0008-0000-0500-00000F000000}"/>
              </a:ext>
            </a:extLst>
          </xdr:cNvPr>
          <xdr:cNvGraphicFramePr>
            <a:graphicFrameLocks/>
          </xdr:cNvGraphicFramePr>
        </xdr:nvGraphicFramePr>
        <xdr:xfrm>
          <a:off x="10048877" y="666751"/>
          <a:ext cx="2011680" cy="160734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2"/>
          </a:graphicData>
        </a:graphic>
      </xdr:graphicFrame>
    </xdr:grpSp>
    <xdr:clientData/>
  </xdr:twoCellAnchor>
  <xdr:twoCellAnchor editAs="oneCell">
    <xdr:from>
      <xdr:col>18</xdr:col>
      <xdr:colOff>416719</xdr:colOff>
      <xdr:row>2</xdr:row>
      <xdr:rowOff>112894</xdr:rowOff>
    </xdr:from>
    <xdr:to>
      <xdr:col>21</xdr:col>
      <xdr:colOff>25281</xdr:colOff>
      <xdr:row>4</xdr:row>
      <xdr:rowOff>251177</xdr:rowOff>
    </xdr:to>
    <xdr:pic>
      <xdr:nvPicPr>
        <xdr:cNvPr id="17" name="Picture 16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4299407" y="478019"/>
          <a:ext cx="1394499" cy="503408"/>
        </a:xfrm>
        <a:prstGeom prst="rect">
          <a:avLst/>
        </a:prstGeom>
      </xdr:spPr>
    </xdr:pic>
    <xdr:clientData/>
  </xdr:twoCellAnchor>
  <xdr:twoCellAnchor editAs="oneCell">
    <xdr:from>
      <xdr:col>17</xdr:col>
      <xdr:colOff>28575</xdr:colOff>
      <xdr:row>7</xdr:row>
      <xdr:rowOff>161925</xdr:rowOff>
    </xdr:from>
    <xdr:to>
      <xdr:col>24</xdr:col>
      <xdr:colOff>557809</xdr:colOff>
      <xdr:row>18</xdr:row>
      <xdr:rowOff>172888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DDBAE03-9252-4F2D-952A-58EC1ED7AB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3144500" y="1619250"/>
          <a:ext cx="4682134" cy="340186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452450</xdr:colOff>
      <xdr:row>0</xdr:row>
      <xdr:rowOff>23816</xdr:rowOff>
    </xdr:from>
    <xdr:to>
      <xdr:col>1</xdr:col>
      <xdr:colOff>799922</xdr:colOff>
      <xdr:row>1</xdr:row>
      <xdr:rowOff>180788</xdr:rowOff>
    </xdr:to>
    <xdr:pic>
      <xdr:nvPicPr>
        <xdr:cNvPr id="5" name="Pictur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419" y="23816"/>
          <a:ext cx="347472" cy="347472"/>
        </a:xfrm>
        <a:prstGeom prst="rect">
          <a:avLst/>
        </a:prstGeom>
      </xdr:spPr>
    </xdr:pic>
    <xdr:clientData/>
  </xdr:twoCellAnchor>
  <xdr:twoCellAnchor editAs="absolute">
    <xdr:from>
      <xdr:col>8</xdr:col>
      <xdr:colOff>95229</xdr:colOff>
      <xdr:row>0</xdr:row>
      <xdr:rowOff>7142</xdr:rowOff>
    </xdr:from>
    <xdr:to>
      <xdr:col>18</xdr:col>
      <xdr:colOff>428625</xdr:colOff>
      <xdr:row>1</xdr:row>
      <xdr:rowOff>172877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 txBox="1"/>
      </xdr:nvSpPr>
      <xdr:spPr>
        <a:xfrm>
          <a:off x="5181579" y="7142"/>
          <a:ext cx="6429396" cy="34671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2600" b="1">
              <a:solidFill>
                <a:schemeClr val="dk1"/>
              </a:solidFill>
              <a:effectLst/>
              <a:latin typeface="+mj-lt"/>
              <a:ea typeface="+mn-ea"/>
              <a:cs typeface="+mn-cs"/>
            </a:rPr>
            <a:t>Estimation Tool for </a:t>
          </a:r>
          <a:r>
            <a:rPr lang="en-US" sz="2600" b="1">
              <a:latin typeface="+mj-lt"/>
            </a:rPr>
            <a:t>ContiChromTwin Capture</a:t>
          </a:r>
          <a:r>
            <a:rPr lang="en-US" sz="2600" b="1" baseline="0">
              <a:latin typeface="+mj-lt"/>
            </a:rPr>
            <a:t> </a:t>
          </a:r>
          <a:r>
            <a:rPr lang="en-US" sz="2600" b="1">
              <a:latin typeface="+mj-lt"/>
            </a:rPr>
            <a:t>  </a:t>
          </a:r>
        </a:p>
      </xdr:txBody>
    </xdr:sp>
    <xdr:clientData/>
  </xdr:twoCellAnchor>
  <xdr:twoCellAnchor editAs="absolute">
    <xdr:from>
      <xdr:col>23</xdr:col>
      <xdr:colOff>35702</xdr:colOff>
      <xdr:row>0</xdr:row>
      <xdr:rowOff>23812</xdr:rowOff>
    </xdr:from>
    <xdr:to>
      <xdr:col>23</xdr:col>
      <xdr:colOff>416707</xdr:colOff>
      <xdr:row>2</xdr:row>
      <xdr:rowOff>23817</xdr:rowOff>
    </xdr:to>
    <xdr:pic macro="[0]!PrintOut">
      <xdr:nvPicPr>
        <xdr:cNvPr id="7" name="Picture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aturation sat="3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80327" y="23812"/>
          <a:ext cx="381005" cy="381005"/>
        </a:xfrm>
        <a:prstGeom prst="rect">
          <a:avLst/>
        </a:prstGeom>
      </xdr:spPr>
    </xdr:pic>
    <xdr:clientData/>
  </xdr:twoCellAnchor>
  <xdr:twoCellAnchor editAs="oneCell">
    <xdr:from>
      <xdr:col>22</xdr:col>
      <xdr:colOff>214313</xdr:colOff>
      <xdr:row>2</xdr:row>
      <xdr:rowOff>102032</xdr:rowOff>
    </xdr:from>
    <xdr:to>
      <xdr:col>24</xdr:col>
      <xdr:colOff>275282</xdr:colOff>
      <xdr:row>5</xdr:row>
      <xdr:rowOff>48552</xdr:rowOff>
    </xdr:to>
    <xdr:pic>
      <xdr:nvPicPr>
        <xdr:cNvPr id="9" name="Picture 8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51719" y="483032"/>
          <a:ext cx="1275407" cy="5537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https://www.youtube.com/watch?v=ELCZkKudbPU" TargetMode="External"/><Relationship Id="rId1" Type="http://schemas.openxmlformats.org/officeDocument/2006/relationships/hyperlink" Target="mailto:info@ymcpt.com" TargetMode="External"/><Relationship Id="rId4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https://www.youtube.com/watch?v=ELCZkKudbPU" TargetMode="External"/><Relationship Id="rId1" Type="http://schemas.openxmlformats.org/officeDocument/2006/relationships/hyperlink" Target="mailto:info@ymcpt.com" TargetMode="External"/><Relationship Id="rId4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mailto:info@ymcp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M70"/>
  <sheetViews>
    <sheetView showGridLines="0" topLeftCell="N13" zoomScale="70" zoomScaleNormal="70" workbookViewId="0">
      <selection activeCell="AA28" sqref="AA28"/>
    </sheetView>
  </sheetViews>
  <sheetFormatPr defaultColWidth="8.90625" defaultRowHeight="14.5" x14ac:dyDescent="0.35"/>
  <cols>
    <col min="1" max="6" width="8.90625" style="71"/>
    <col min="7" max="7" width="3.90625" style="71" customWidth="1"/>
    <col min="8" max="9" width="8.90625" style="71"/>
    <col min="10" max="10" width="25.90625" style="71" customWidth="1"/>
    <col min="11" max="11" width="14.36328125" style="71" customWidth="1"/>
    <col min="12" max="12" width="6" style="71" customWidth="1"/>
    <col min="13" max="13" width="25" style="71" bestFit="1" customWidth="1"/>
    <col min="14" max="14" width="15.453125" style="71" customWidth="1"/>
    <col min="15" max="15" width="10.54296875" style="71" bestFit="1" customWidth="1"/>
    <col min="16" max="16" width="8.90625" style="71"/>
    <col min="17" max="17" width="14" style="71" customWidth="1"/>
    <col min="18" max="18" width="13.90625" style="71" customWidth="1"/>
    <col min="19" max="21" width="8.90625" style="71"/>
    <col min="22" max="22" width="10.81640625" style="71" customWidth="1"/>
    <col min="23" max="23" width="11.90625" style="71" customWidth="1"/>
    <col min="24" max="26" width="8.90625" style="71"/>
    <col min="27" max="27" width="15.90625" style="71" customWidth="1"/>
    <col min="28" max="28" width="11.1796875" style="71" customWidth="1"/>
    <col min="29" max="31" width="8.90625" style="71"/>
    <col min="32" max="32" width="10.6328125" style="71" customWidth="1"/>
    <col min="33" max="36" width="8.90625" style="71"/>
    <col min="37" max="37" width="19.90625" style="71" customWidth="1"/>
    <col min="38" max="38" width="11.08984375" style="71" customWidth="1"/>
    <col min="39" max="39" width="11" style="71" customWidth="1"/>
    <col min="40" max="16384" width="8.90625" style="71"/>
  </cols>
  <sheetData>
    <row r="1" spans="1:39" x14ac:dyDescent="0.35">
      <c r="A1" s="71" t="s">
        <v>21</v>
      </c>
      <c r="E1" s="71" t="s">
        <v>22</v>
      </c>
      <c r="J1" s="71" t="s">
        <v>45</v>
      </c>
    </row>
    <row r="2" spans="1:39" x14ac:dyDescent="0.35">
      <c r="B2" s="71">
        <v>1</v>
      </c>
      <c r="G2" s="71">
        <v>1</v>
      </c>
      <c r="P2"/>
      <c r="Q2" s="133" t="s">
        <v>101</v>
      </c>
      <c r="R2"/>
      <c r="S2"/>
      <c r="T2"/>
      <c r="U2"/>
      <c r="V2"/>
      <c r="W2"/>
      <c r="X2"/>
      <c r="AA2" s="72" t="s">
        <v>102</v>
      </c>
      <c r="AK2" s="71" t="s">
        <v>118</v>
      </c>
      <c r="AL2" s="71" t="str">
        <f>IFERROR(VLOOKUP(Q28,AK4:AM7,2,FALSE),"")</f>
        <v>2.4 L/min</v>
      </c>
      <c r="AM2" s="71" t="str">
        <f>IFERROR(VLOOKUP(Q28,AK4:AM7,3,FALSE),"")</f>
        <v>5 – 20 cm</v>
      </c>
    </row>
    <row r="3" spans="1:39" ht="43.5" x14ac:dyDescent="0.35">
      <c r="C3" s="71">
        <f>'Minimise Cost'!$D$10</f>
        <v>20</v>
      </c>
      <c r="H3" s="71">
        <f>'Reduce Process Time'!$D$10</f>
        <v>20</v>
      </c>
      <c r="J3" s="73" t="s">
        <v>61</v>
      </c>
      <c r="M3" s="73" t="s">
        <v>62</v>
      </c>
      <c r="O3" s="74"/>
      <c r="P3"/>
      <c r="Q3" s="134" t="s">
        <v>85</v>
      </c>
      <c r="R3" s="134"/>
      <c r="S3" s="135" t="s">
        <v>86</v>
      </c>
      <c r="T3" s="134" t="s">
        <v>87</v>
      </c>
      <c r="U3" s="136" t="s">
        <v>88</v>
      </c>
      <c r="V3" s="137" t="s">
        <v>89</v>
      </c>
      <c r="W3" s="138" t="s">
        <v>90</v>
      </c>
      <c r="X3" s="134" t="s">
        <v>91</v>
      </c>
      <c r="AA3" s="75" t="s">
        <v>85</v>
      </c>
      <c r="AB3" s="75"/>
      <c r="AC3" s="76" t="s">
        <v>86</v>
      </c>
      <c r="AD3" s="75" t="s">
        <v>87</v>
      </c>
      <c r="AE3" s="77" t="s">
        <v>88</v>
      </c>
      <c r="AF3" s="78" t="s">
        <v>89</v>
      </c>
      <c r="AG3" s="80" t="s">
        <v>90</v>
      </c>
      <c r="AH3" s="79" t="s">
        <v>91</v>
      </c>
      <c r="AK3" s="71" t="s">
        <v>117</v>
      </c>
      <c r="AL3" s="71" t="str">
        <f>IFERROR(VLOOKUP(AA28,AK4:AM7,2,FALSE),"")</f>
        <v>2.4 L/min</v>
      </c>
      <c r="AM3" s="71" t="str">
        <f>IFERROR(VLOOKUP(AA28,AK4:AM7,3,FALSE),"")</f>
        <v>5 – 20 cm</v>
      </c>
    </row>
    <row r="4" spans="1:39" x14ac:dyDescent="0.35">
      <c r="C4" s="71">
        <v>130</v>
      </c>
      <c r="H4" s="71">
        <v>130</v>
      </c>
      <c r="P4"/>
      <c r="Q4" s="139"/>
      <c r="R4" s="134"/>
      <c r="S4" s="140" t="s">
        <v>92</v>
      </c>
      <c r="T4" s="141" t="s">
        <v>93</v>
      </c>
      <c r="U4" s="142" t="s">
        <v>92</v>
      </c>
      <c r="V4" s="143" t="s">
        <v>94</v>
      </c>
      <c r="W4" s="143" t="s">
        <v>95</v>
      </c>
      <c r="X4" s="144" t="s">
        <v>96</v>
      </c>
      <c r="AA4" s="81"/>
      <c r="AB4" s="75"/>
      <c r="AC4" s="82" t="s">
        <v>92</v>
      </c>
      <c r="AD4" s="83" t="s">
        <v>93</v>
      </c>
      <c r="AE4" s="84" t="s">
        <v>92</v>
      </c>
      <c r="AF4" s="85" t="s">
        <v>94</v>
      </c>
      <c r="AG4" s="85" t="s">
        <v>95</v>
      </c>
      <c r="AH4" s="86" t="s">
        <v>96</v>
      </c>
      <c r="AK4" s="71" t="s">
        <v>147</v>
      </c>
      <c r="AL4" s="71" t="s">
        <v>114</v>
      </c>
      <c r="AM4" s="71" t="s">
        <v>123</v>
      </c>
    </row>
    <row r="5" spans="1:39" x14ac:dyDescent="0.35">
      <c r="J5" s="71" t="s">
        <v>44</v>
      </c>
      <c r="K5" s="71">
        <f>PI()/4*'Minimise Cost'!$D$10*'Minimise Cost'!$D$10</f>
        <v>314.15926535897933</v>
      </c>
      <c r="M5" s="71" t="s">
        <v>63</v>
      </c>
      <c r="N5" s="71">
        <f>PI()/4*'Reduce Process Time'!$D$10*'Reduce Process Time'!$D$10</f>
        <v>314.15926535897933</v>
      </c>
      <c r="P5"/>
      <c r="Q5" s="145"/>
      <c r="R5" s="145"/>
      <c r="S5" s="146"/>
      <c r="T5" s="147"/>
      <c r="U5" s="148"/>
      <c r="V5" s="149"/>
      <c r="W5" s="147"/>
      <c r="X5" s="150"/>
      <c r="AA5" s="87"/>
      <c r="AB5" s="87"/>
      <c r="AC5" s="88"/>
      <c r="AD5" s="89"/>
      <c r="AE5" s="90"/>
      <c r="AF5" s="91"/>
      <c r="AG5" s="89"/>
      <c r="AH5" s="93"/>
      <c r="AK5" s="71" t="s">
        <v>148</v>
      </c>
      <c r="AL5" s="71" t="s">
        <v>115</v>
      </c>
      <c r="AM5" s="71" t="s">
        <v>122</v>
      </c>
    </row>
    <row r="6" spans="1:39" ht="29" x14ac:dyDescent="0.35">
      <c r="B6" s="71">
        <v>2</v>
      </c>
      <c r="G6" s="71">
        <v>2</v>
      </c>
      <c r="J6" s="71" t="s">
        <v>30</v>
      </c>
      <c r="K6" s="71">
        <f>PI()/4*'Minimise Cost'!$D$10*'Minimise Cost'!$D$10*'Minimise Cost'!$D$16/1000</f>
        <v>6.2831853071795871</v>
      </c>
      <c r="M6" s="71" t="s">
        <v>32</v>
      </c>
      <c r="N6" s="71">
        <f>PI()/4*'Reduce Process Time'!$D$10*'Reduce Process Time'!$D$10*'Reduce Process Time'!$D$16/1000</f>
        <v>6.2831853071795871</v>
      </c>
      <c r="P6"/>
      <c r="Q6" s="134" t="s">
        <v>97</v>
      </c>
      <c r="R6" s="134" t="s">
        <v>98</v>
      </c>
      <c r="S6" s="151">
        <f>0.1/1000</f>
        <v>1E-4</v>
      </c>
      <c r="T6" s="152">
        <v>0.5</v>
      </c>
      <c r="U6" s="153">
        <f>'Minimise Cost'!$L$10/60*PI()/4*T6*T6/1000</f>
        <v>3.2724923474893681E-4</v>
      </c>
      <c r="V6" s="154">
        <f>U6*24*60</f>
        <v>0.47123889803846902</v>
      </c>
      <c r="W6" s="155">
        <f>'Minimise Cost'!$S$16/100*V6*'Minimise Cost'!$S$10/1000</f>
        <v>2.6860617188192732E-3</v>
      </c>
      <c r="X6" s="136"/>
      <c r="AA6" s="75" t="s">
        <v>97</v>
      </c>
      <c r="AB6" s="75" t="s">
        <v>98</v>
      </c>
      <c r="AC6" s="94">
        <f>0.1/1000</f>
        <v>1E-4</v>
      </c>
      <c r="AD6" s="95">
        <v>0.5</v>
      </c>
      <c r="AE6" s="96">
        <f>'Reduce Process Time'!$L$10/60*PI()/4*AD6*AD6/1000</f>
        <v>3.2724923474893681E-4</v>
      </c>
      <c r="AF6" s="97">
        <f>AE6*24*60</f>
        <v>0.47123889803846902</v>
      </c>
      <c r="AG6" s="98">
        <f>'Reduce Process Time'!$S$16/100*AF6*'Reduce Process Time'!$S$10/1000</f>
        <v>3.5814156250923643E-3</v>
      </c>
      <c r="AH6" s="99"/>
      <c r="AK6" s="71" t="s">
        <v>149</v>
      </c>
      <c r="AL6" s="71" t="s">
        <v>129</v>
      </c>
      <c r="AM6" s="71" t="s">
        <v>121</v>
      </c>
    </row>
    <row r="7" spans="1:39" x14ac:dyDescent="0.35">
      <c r="C7" s="71">
        <f>'Minimise Cost'!$D$16</f>
        <v>20</v>
      </c>
      <c r="H7" s="71">
        <f>'Reduce Process Time'!$D$16</f>
        <v>20</v>
      </c>
      <c r="J7" s="71" t="s">
        <v>28</v>
      </c>
      <c r="K7" s="100">
        <f>K18*1000/'Minimise Cost'!L10*60</f>
        <v>165.80627893946132</v>
      </c>
      <c r="M7" s="71" t="s">
        <v>34</v>
      </c>
      <c r="N7" s="71">
        <f>PI()/4*'Reduce Process Time'!$D$10*'Reduce Process Time'!$D$10</f>
        <v>314.15926535897933</v>
      </c>
      <c r="P7"/>
      <c r="Q7" s="134"/>
      <c r="R7" s="134" t="s">
        <v>99</v>
      </c>
      <c r="S7" s="156">
        <f>36/1000</f>
        <v>3.5999999999999997E-2</v>
      </c>
      <c r="T7" s="154">
        <v>1</v>
      </c>
      <c r="U7" s="155">
        <f>IF('Minimise Cost'!$L$10/60*PI()/4*T7*T7/1000&gt;S7,S7,'Minimise Cost'!$L$10/60*PI()/4*T7*T7/1000)</f>
        <v>1.3089969389957472E-3</v>
      </c>
      <c r="V7" s="154">
        <f>U7*24*60</f>
        <v>1.8849555921538761</v>
      </c>
      <c r="W7" s="157">
        <f>'Minimise Cost'!$S$16/100*V7*'Minimise Cost'!$S$10/1000</f>
        <v>1.0744246875277093E-2</v>
      </c>
      <c r="X7" s="136"/>
      <c r="AA7" s="75"/>
      <c r="AB7" s="75" t="s">
        <v>99</v>
      </c>
      <c r="AC7" s="101">
        <f>36/1000</f>
        <v>3.5999999999999997E-2</v>
      </c>
      <c r="AD7" s="97">
        <v>1</v>
      </c>
      <c r="AE7" s="98">
        <f>IF('Reduce Process Time'!$L$10/60*PI()/4*AD7*AD7/1000&gt;AC7,AC7,'Reduce Process Time'!$L$10/60*PI()/4*AD7*AD7/1000)</f>
        <v>1.3089969389957472E-3</v>
      </c>
      <c r="AF7" s="97">
        <f>AE7*24*60</f>
        <v>1.8849555921538761</v>
      </c>
      <c r="AG7" s="98">
        <f>'Reduce Process Time'!$S$16/100*AF7*'Reduce Process Time'!$S$10/1000</f>
        <v>1.4325662500369457E-2</v>
      </c>
      <c r="AH7" s="99"/>
      <c r="AK7" s="71" t="s">
        <v>150</v>
      </c>
      <c r="AL7" s="71" t="s">
        <v>131</v>
      </c>
      <c r="AM7" s="71" t="s">
        <v>132</v>
      </c>
    </row>
    <row r="8" spans="1:39" x14ac:dyDescent="0.35">
      <c r="C8" s="71">
        <v>75</v>
      </c>
      <c r="H8" s="71">
        <v>75</v>
      </c>
      <c r="J8" s="71" t="s">
        <v>26</v>
      </c>
      <c r="K8" s="71">
        <f>'Minimise Cost'!$D$22*Settings!K6</f>
        <v>314.15926535897938</v>
      </c>
      <c r="M8" s="71" t="s">
        <v>64</v>
      </c>
      <c r="N8" s="71">
        <f>PI()/4*'Reduce Process Time'!$D$10*'Reduce Process Time'!$D$10*('Reduce Process Time'!$D$16/2)/1000</f>
        <v>3.1415926535897936</v>
      </c>
      <c r="P8"/>
      <c r="Q8" s="145"/>
      <c r="R8" s="145"/>
      <c r="S8" s="158"/>
      <c r="T8" s="148"/>
      <c r="U8" s="159"/>
      <c r="V8" s="160"/>
      <c r="W8" s="159"/>
      <c r="X8" s="161"/>
      <c r="AA8" s="87"/>
      <c r="AB8" s="87"/>
      <c r="AC8" s="102"/>
      <c r="AD8" s="90"/>
      <c r="AE8" s="103"/>
      <c r="AF8" s="104"/>
      <c r="AG8" s="103"/>
      <c r="AH8" s="105"/>
    </row>
    <row r="9" spans="1:39" ht="29" x14ac:dyDescent="0.35">
      <c r="J9" s="71" t="s">
        <v>46</v>
      </c>
      <c r="K9" s="71">
        <f>'Minimise Cost'!D22/'Minimise Cost'!$S$10</f>
        <v>8.3333333333333339</v>
      </c>
      <c r="M9" s="71" t="s">
        <v>33</v>
      </c>
      <c r="N9" s="71">
        <f>'Reduce Process Time'!$D$22*Settings!$N$6</f>
        <v>314.15926535897938</v>
      </c>
      <c r="P9"/>
      <c r="Q9" s="134" t="s">
        <v>100</v>
      </c>
      <c r="R9" s="134" t="s">
        <v>98</v>
      </c>
      <c r="S9" s="151">
        <f>0.1/1000</f>
        <v>1E-4</v>
      </c>
      <c r="T9" s="152">
        <v>0.5</v>
      </c>
      <c r="U9" s="153">
        <f>'Minimise Cost'!$L$10/60*PI()/4*T9*T9/1000</f>
        <v>3.2724923474893681E-4</v>
      </c>
      <c r="V9" s="154">
        <f>U9*24*60</f>
        <v>0.47123889803846902</v>
      </c>
      <c r="W9" s="157">
        <f>'Minimise Cost'!$S$16/100*V9*'Minimise Cost'!$S$10/1000</f>
        <v>2.6860617188192732E-3</v>
      </c>
      <c r="X9" s="136"/>
      <c r="AA9" s="75" t="s">
        <v>100</v>
      </c>
      <c r="AB9" s="75" t="s">
        <v>98</v>
      </c>
      <c r="AC9" s="94">
        <f>0.1/1000</f>
        <v>1E-4</v>
      </c>
      <c r="AD9" s="95">
        <v>0.5</v>
      </c>
      <c r="AE9" s="96">
        <f>'Reduce Process Time'!$L$10/60*PI()/4*AD9*AD9/1000</f>
        <v>3.2724923474893681E-4</v>
      </c>
      <c r="AF9" s="97">
        <f>AE9*24*60</f>
        <v>0.47123889803846902</v>
      </c>
      <c r="AG9" s="98">
        <f>'Reduce Process Time'!$S$16/100*AF9*'Reduce Process Time'!$S$10/1000</f>
        <v>3.5814156250923643E-3</v>
      </c>
      <c r="AH9" s="99"/>
    </row>
    <row r="10" spans="1:39" x14ac:dyDescent="0.35">
      <c r="J10" s="71" t="s">
        <v>25</v>
      </c>
      <c r="K10" s="71">
        <f>'Minimise Cost'!$L$10*Settings!$K$5/60/1000</f>
        <v>0.52359877559829882</v>
      </c>
      <c r="M10" s="71" t="s">
        <v>65</v>
      </c>
      <c r="N10" s="71">
        <f>$N$9/$N$6/'Reduce Process Time'!$S$10</f>
        <v>6.2500000000000009</v>
      </c>
      <c r="P10"/>
      <c r="Q10" s="134"/>
      <c r="R10" s="134" t="s">
        <v>99</v>
      </c>
      <c r="S10" s="162">
        <f>100/1000</f>
        <v>0.1</v>
      </c>
      <c r="T10" s="152">
        <v>2.5</v>
      </c>
      <c r="U10" s="155">
        <f>IF('Minimise Cost'!$L$10/60*PI()/4*T10*T10/1000&gt;S10,S10,'Minimise Cost'!$L$10/60*PI()/4*T10*T10/1000)</f>
        <v>8.181230868723419E-3</v>
      </c>
      <c r="V10" s="154">
        <f>U10*24*60</f>
        <v>11.780972450961723</v>
      </c>
      <c r="W10" s="157">
        <f>'Minimise Cost'!$S$16/100*V10*'Minimise Cost'!$S$10/1000</f>
        <v>6.7151542970481828E-2</v>
      </c>
      <c r="X10" s="136"/>
      <c r="AA10" s="75"/>
      <c r="AB10" s="75" t="s">
        <v>99</v>
      </c>
      <c r="AC10" s="106">
        <f>100/1000</f>
        <v>0.1</v>
      </c>
      <c r="AD10" s="95">
        <v>2.5</v>
      </c>
      <c r="AE10" s="98">
        <f>IF('Reduce Process Time'!$L$10/60*PI()/4*AD10*AD10/1000&gt;AC10,AC10,'Reduce Process Time'!$L$10/60*PI()/4*AD10*AD10/1000)</f>
        <v>8.181230868723419E-3</v>
      </c>
      <c r="AF10" s="97">
        <f>AE10*24*60</f>
        <v>11.780972450961723</v>
      </c>
      <c r="AG10" s="98">
        <f>'Reduce Process Time'!$S$16/100*AF10*'Reduce Process Time'!$S$10/1000</f>
        <v>8.95353906273091E-2</v>
      </c>
      <c r="AH10" s="99"/>
    </row>
    <row r="11" spans="1:39" x14ac:dyDescent="0.35">
      <c r="B11" s="71">
        <v>3</v>
      </c>
      <c r="G11" s="71">
        <v>3</v>
      </c>
      <c r="J11" s="71" t="s">
        <v>23</v>
      </c>
      <c r="K11" s="71">
        <f>'Minimise Cost'!$L$16*Settings!$K$5/60/1000</f>
        <v>1.5707963267948968</v>
      </c>
      <c r="M11" s="71" t="s">
        <v>35</v>
      </c>
      <c r="N11" s="71">
        <f>'Reduce Process Time'!$L$10*Settings!$N$5/60/1000</f>
        <v>0.52359877559829882</v>
      </c>
      <c r="P11"/>
      <c r="Q11" s="150"/>
      <c r="R11" s="150"/>
      <c r="S11" s="163"/>
      <c r="T11" s="164"/>
      <c r="U11" s="164"/>
      <c r="V11" s="164"/>
      <c r="W11" s="164"/>
      <c r="X11" s="165"/>
      <c r="AA11" s="92"/>
      <c r="AB11" s="92"/>
      <c r="AC11" s="107"/>
      <c r="AD11" s="108"/>
      <c r="AE11" s="108"/>
      <c r="AF11" s="108"/>
      <c r="AG11" s="108"/>
      <c r="AH11" s="109"/>
    </row>
    <row r="12" spans="1:39" ht="29" x14ac:dyDescent="0.35">
      <c r="C12" s="71">
        <f>'Minimise Cost'!$D$22</f>
        <v>50</v>
      </c>
      <c r="H12" s="71">
        <f>'Reduce Process Time'!$D$22</f>
        <v>50</v>
      </c>
      <c r="J12" s="71" t="s">
        <v>24</v>
      </c>
      <c r="K12" s="71">
        <f>20*$K$6</f>
        <v>125.66370614359174</v>
      </c>
      <c r="M12" s="71" t="s">
        <v>36</v>
      </c>
      <c r="N12" s="71">
        <f>'Reduce Process Time'!$L$16*Settings!$N$5/60/1000</f>
        <v>1.5707963267948968</v>
      </c>
      <c r="P12"/>
      <c r="Q12" s="134" t="s">
        <v>147</v>
      </c>
      <c r="R12" s="134" t="s">
        <v>98</v>
      </c>
      <c r="S12" s="166">
        <f>4/1000</f>
        <v>4.0000000000000001E-3</v>
      </c>
      <c r="T12" s="167">
        <v>2.5</v>
      </c>
      <c r="U12" s="153">
        <f>'Minimise Cost'!$L$10/60*PI()/4*T12*T12/1000</f>
        <v>8.181230868723419E-3</v>
      </c>
      <c r="V12" s="154">
        <f>U12*24*60</f>
        <v>11.780972450961723</v>
      </c>
      <c r="W12" s="157">
        <f>'Minimise Cost'!$S$16/100*V12*'Minimise Cost'!$S$10/1000</f>
        <v>6.7151542970481828E-2</v>
      </c>
      <c r="X12" s="168"/>
      <c r="AA12" s="134" t="s">
        <v>147</v>
      </c>
      <c r="AB12" s="75" t="s">
        <v>98</v>
      </c>
      <c r="AC12" s="110">
        <f>4/1000</f>
        <v>4.0000000000000001E-3</v>
      </c>
      <c r="AD12" s="111">
        <v>2.5</v>
      </c>
      <c r="AE12" s="96">
        <f>'Reduce Process Time'!$L$10/60*PI()/4*AD12*AD12/1000</f>
        <v>8.181230868723419E-3</v>
      </c>
      <c r="AF12" s="97">
        <f>AE12*24*60</f>
        <v>11.780972450961723</v>
      </c>
      <c r="AG12" s="98">
        <f>'Reduce Process Time'!$S$16/100*AF12*'Reduce Process Time'!$S$10/1000</f>
        <v>8.95353906273091E-2</v>
      </c>
      <c r="AH12" s="112"/>
    </row>
    <row r="13" spans="1:39" x14ac:dyDescent="0.35">
      <c r="C13" s="71">
        <v>700</v>
      </c>
      <c r="H13" s="71">
        <v>700</v>
      </c>
      <c r="J13" s="71" t="s">
        <v>27</v>
      </c>
      <c r="K13" s="71">
        <f>($K$9*$K$6/$K$10+$K$12/$K$11)/60</f>
        <v>3.0000000000000004</v>
      </c>
      <c r="M13" s="113" t="s">
        <v>37</v>
      </c>
      <c r="N13" s="113">
        <f>('Reduce Process Time'!$L$10*1.3)*$N$7/60/1000</f>
        <v>0.68067840827778858</v>
      </c>
      <c r="P13"/>
      <c r="Q13" s="134"/>
      <c r="R13" s="134" t="s">
        <v>99</v>
      </c>
      <c r="S13" s="169">
        <f>700/1000</f>
        <v>0.7</v>
      </c>
      <c r="T13" s="170">
        <v>10</v>
      </c>
      <c r="U13" s="155">
        <f>IF('Minimise Cost'!$L$10/60*PI()/4*T13*T13/1000&gt;S13,S13,'Minimise Cost'!$L$10/60*PI()/4*T13*T13/1000)</f>
        <v>0.1308996938995747</v>
      </c>
      <c r="V13" s="154">
        <f>U13*24*60</f>
        <v>188.49555921538757</v>
      </c>
      <c r="W13" s="157">
        <f>'Minimise Cost'!$S$16/100*V13*'Minimise Cost'!$S$10/1000</f>
        <v>1.0744246875277093</v>
      </c>
      <c r="X13" s="137"/>
      <c r="AA13" s="75"/>
      <c r="AB13" s="75" t="s">
        <v>99</v>
      </c>
      <c r="AC13" s="114">
        <f>700/1000</f>
        <v>0.7</v>
      </c>
      <c r="AD13" s="115">
        <v>10</v>
      </c>
      <c r="AE13" s="98">
        <f>IF('Reduce Process Time'!$L$10/60*PI()/4*AD13*AD13/1000&gt;AC13,AC13,'Reduce Process Time'!$L$10/60*PI()/4*AD13*AD13/1000)</f>
        <v>0.1308996938995747</v>
      </c>
      <c r="AF13" s="97">
        <f>AE13*24*60</f>
        <v>188.49555921538757</v>
      </c>
      <c r="AG13" s="98">
        <f>'Reduce Process Time'!$S$16/100*AF13*'Reduce Process Time'!$S$10/1000</f>
        <v>1.4325662500369456</v>
      </c>
      <c r="AH13" s="86"/>
    </row>
    <row r="14" spans="1:39" x14ac:dyDescent="0.35">
      <c r="M14" s="113" t="s">
        <v>66</v>
      </c>
      <c r="N14" s="113">
        <f>('Reduce Process Time'!$L$16*1.3)*Settings!$N$7/60/1000</f>
        <v>2.0420352248333655</v>
      </c>
      <c r="P14"/>
      <c r="Q14" s="145"/>
      <c r="R14" s="145"/>
      <c r="S14" s="163"/>
      <c r="T14" s="164"/>
      <c r="U14" s="164"/>
      <c r="V14" s="164"/>
      <c r="W14" s="164"/>
      <c r="X14" s="171"/>
      <c r="AA14" s="87"/>
      <c r="AB14" s="87"/>
      <c r="AC14" s="107"/>
      <c r="AD14" s="108"/>
      <c r="AE14" s="108"/>
      <c r="AF14" s="108"/>
      <c r="AG14" s="108"/>
      <c r="AH14" s="116"/>
    </row>
    <row r="15" spans="1:39" ht="29" x14ac:dyDescent="0.35">
      <c r="B15" s="71">
        <v>4</v>
      </c>
      <c r="G15" s="71">
        <v>4</v>
      </c>
      <c r="J15" s="71" t="s">
        <v>47</v>
      </c>
      <c r="K15" s="71">
        <f>'Minimise Cost'!$S$16/100*24/$K$13*$K$8/1000</f>
        <v>2.387610416728243</v>
      </c>
      <c r="M15" s="71" t="s">
        <v>67</v>
      </c>
      <c r="N15" s="71">
        <f>20*$N$6</f>
        <v>125.66370614359174</v>
      </c>
      <c r="P15"/>
      <c r="Q15" s="134" t="s">
        <v>148</v>
      </c>
      <c r="R15" s="134" t="s">
        <v>98</v>
      </c>
      <c r="S15" s="172">
        <f>0.02</f>
        <v>0.02</v>
      </c>
      <c r="T15" s="170">
        <v>5</v>
      </c>
      <c r="U15" s="153">
        <f>'Minimise Cost'!$L$10/60*PI()/4*T15*T15/1000</f>
        <v>3.2724923474893676E-2</v>
      </c>
      <c r="V15" s="154">
        <f t="shared" ref="V15:V16" si="0">U15*24*60</f>
        <v>47.123889803846893</v>
      </c>
      <c r="W15" s="157">
        <f>'Minimise Cost'!$S$16/100*V15*'Minimise Cost'!$S$10/1000</f>
        <v>0.26860617188192731</v>
      </c>
      <c r="X15" s="137"/>
      <c r="AA15" s="134" t="s">
        <v>148</v>
      </c>
      <c r="AB15" s="75" t="s">
        <v>98</v>
      </c>
      <c r="AC15" s="117">
        <f>0.02</f>
        <v>0.02</v>
      </c>
      <c r="AD15" s="115">
        <v>5</v>
      </c>
      <c r="AE15" s="96">
        <f>'Reduce Process Time'!$L$10/60*PI()/4*AD15*AD15/1000</f>
        <v>3.2724923474893676E-2</v>
      </c>
      <c r="AF15" s="97">
        <f t="shared" ref="AF15:AF16" si="1">AE15*24*60</f>
        <v>47.123889803846893</v>
      </c>
      <c r="AG15" s="98">
        <f>'Reduce Process Time'!$S$16/100*AF15*'Reduce Process Time'!$S$10/1000</f>
        <v>0.3581415625092364</v>
      </c>
      <c r="AH15" s="86"/>
    </row>
    <row r="16" spans="1:39" x14ac:dyDescent="0.35">
      <c r="C16" s="71">
        <f>'Minimise Cost'!$L$10</f>
        <v>100</v>
      </c>
      <c r="H16" s="71">
        <f>'Reduce Process Time'!$L$10</f>
        <v>100</v>
      </c>
      <c r="J16" s="71" t="s">
        <v>48</v>
      </c>
      <c r="K16" s="71">
        <f>$K$15*1000/24</f>
        <v>99.48376736367679</v>
      </c>
      <c r="M16" s="71" t="s">
        <v>68</v>
      </c>
      <c r="N16" s="118">
        <f>($N$10*$N$6/$N$11+$N$15/$N$12)/60</f>
        <v>2.5833333333333339</v>
      </c>
      <c r="P16"/>
      <c r="Q16" s="134"/>
      <c r="R16" s="134" t="s">
        <v>99</v>
      </c>
      <c r="S16" s="169">
        <f>2.4</f>
        <v>2.4</v>
      </c>
      <c r="T16" s="170">
        <v>20</v>
      </c>
      <c r="U16" s="155">
        <f>IF('Minimise Cost'!$L$10/60*PI()/4*T16*T16/1000&gt;S16,S16,'Minimise Cost'!$L$10/60*PI()/4*T16*T16/1000)</f>
        <v>0.52359877559829882</v>
      </c>
      <c r="V16" s="154">
        <f t="shared" si="0"/>
        <v>753.98223686155029</v>
      </c>
      <c r="W16" s="157">
        <f>'Minimise Cost'!$S$16/100*V16*'Minimise Cost'!$S$10/1000</f>
        <v>4.297698750110837</v>
      </c>
      <c r="X16" s="137"/>
      <c r="AA16" s="75"/>
      <c r="AB16" s="75" t="s">
        <v>99</v>
      </c>
      <c r="AC16" s="114">
        <f>2.4</f>
        <v>2.4</v>
      </c>
      <c r="AD16" s="115">
        <v>20</v>
      </c>
      <c r="AE16" s="98">
        <f>IF('Reduce Process Time'!$L$10/60*PI()/4*AD16*AD16/1000&gt;AC16,AC16,'Reduce Process Time'!$L$10/60*PI()/4*AD16*AD16/1000)</f>
        <v>0.52359877559829882</v>
      </c>
      <c r="AF16" s="97">
        <f t="shared" si="1"/>
        <v>753.98223686155029</v>
      </c>
      <c r="AG16" s="98">
        <f>'Reduce Process Time'!$S$16/100*AF16*'Reduce Process Time'!$S$10/1000</f>
        <v>5.7302650001477824</v>
      </c>
      <c r="AH16" s="86"/>
    </row>
    <row r="17" spans="2:34" x14ac:dyDescent="0.35">
      <c r="C17" s="71">
        <v>1300</v>
      </c>
      <c r="H17" s="71">
        <v>1300</v>
      </c>
      <c r="M17" s="71" t="s">
        <v>38</v>
      </c>
      <c r="N17" s="71">
        <f>2*('Reduce Process Time'!$D$22*1.5)/'Reduce Process Time'!$S$10*Settings!$N$8/Settings!$N$13/60</f>
        <v>1.4423076923076923</v>
      </c>
      <c r="P17"/>
      <c r="Q17" s="145"/>
      <c r="R17" s="145"/>
      <c r="S17" s="163"/>
      <c r="T17" s="164"/>
      <c r="U17" s="164"/>
      <c r="V17" s="164"/>
      <c r="W17" s="164"/>
      <c r="X17" s="171"/>
      <c r="AA17" s="87"/>
      <c r="AB17" s="87"/>
      <c r="AC17" s="107"/>
      <c r="AD17" s="108"/>
      <c r="AE17" s="108"/>
      <c r="AF17" s="108"/>
      <c r="AG17" s="108"/>
      <c r="AH17" s="116"/>
    </row>
    <row r="18" spans="2:34" ht="29" x14ac:dyDescent="0.35">
      <c r="J18" s="113" t="s">
        <v>125</v>
      </c>
      <c r="K18" s="113">
        <f>$K$15/24/60*1000/'Minimise Cost'!$S$10</f>
        <v>0.27634379823243554</v>
      </c>
      <c r="M18" s="119" t="s">
        <v>39</v>
      </c>
      <c r="N18" s="71">
        <f>2*20*$N$8</f>
        <v>125.66370614359174</v>
      </c>
      <c r="P18"/>
      <c r="Q18" s="134" t="s">
        <v>149</v>
      </c>
      <c r="R18" s="134" t="s">
        <v>98</v>
      </c>
      <c r="S18" s="173">
        <v>0.06</v>
      </c>
      <c r="T18" s="170">
        <v>7.5</v>
      </c>
      <c r="U18" s="153">
        <f>'Minimise Cost'!$L$10/60*PI()/4*T18*T18/1000</f>
        <v>7.3631077818510776E-2</v>
      </c>
      <c r="V18" s="154">
        <f t="shared" ref="V18:V19" si="2">U18*24*60</f>
        <v>106.02875205865551</v>
      </c>
      <c r="W18" s="157">
        <f>'Minimise Cost'!$S$16/100*V18*'Minimise Cost'!$S$10/1000</f>
        <v>0.60436388673433639</v>
      </c>
      <c r="X18" s="137"/>
      <c r="AA18" s="134" t="s">
        <v>149</v>
      </c>
      <c r="AB18" s="75" t="s">
        <v>98</v>
      </c>
      <c r="AC18" s="120">
        <v>0.06</v>
      </c>
      <c r="AD18" s="115">
        <v>7.5</v>
      </c>
      <c r="AE18" s="96">
        <f>'Reduce Process Time'!$L$10/60*PI()/4*AD18*AD18/1000</f>
        <v>7.3631077818510776E-2</v>
      </c>
      <c r="AF18" s="97">
        <f t="shared" ref="AF18:AF19" si="3">AE18*24*60</f>
        <v>106.02875205865551</v>
      </c>
      <c r="AG18" s="98">
        <f>'Reduce Process Time'!$S$16/100*AF18*'Reduce Process Time'!$S$10/1000</f>
        <v>0.80581851564578189</v>
      </c>
      <c r="AH18" s="86"/>
    </row>
    <row r="19" spans="2:34" ht="29" x14ac:dyDescent="0.35">
      <c r="B19" s="71">
        <v>5</v>
      </c>
      <c r="G19" s="71">
        <v>5</v>
      </c>
      <c r="J19" s="113" t="s">
        <v>126</v>
      </c>
      <c r="K19" s="113">
        <f>'Minimise Cost'!L16*Settings!K7/60/1000</f>
        <v>0.82903139469730658</v>
      </c>
      <c r="M19" s="119" t="s">
        <v>69</v>
      </c>
      <c r="N19" s="71">
        <f>$N$18*24/$N$17</f>
        <v>2091.0440702293663</v>
      </c>
      <c r="P19"/>
      <c r="Q19" s="134"/>
      <c r="R19" s="134" t="s">
        <v>99</v>
      </c>
      <c r="S19" s="173">
        <v>10</v>
      </c>
      <c r="T19" s="170">
        <v>45</v>
      </c>
      <c r="U19" s="155">
        <f>IF('Minimise Cost'!$L$10/60*PI()/4*T19*T19/1000&gt;S19,S19,'Minimise Cost'!$L$10/60*PI()/4*T19*T19/1000)</f>
        <v>2.6507188014663883</v>
      </c>
      <c r="V19" s="154">
        <f t="shared" si="2"/>
        <v>3817.0350741115994</v>
      </c>
      <c r="W19" s="157">
        <f>'Minimise Cost'!$S$16/100*V19*'Minimise Cost'!$S$10/1000</f>
        <v>21.757099922436115</v>
      </c>
      <c r="X19" s="137"/>
      <c r="AA19" s="75"/>
      <c r="AB19" s="75" t="s">
        <v>99</v>
      </c>
      <c r="AC19" s="121">
        <v>10</v>
      </c>
      <c r="AD19" s="115">
        <v>45</v>
      </c>
      <c r="AE19" s="98">
        <f>IF('Reduce Process Time'!$L$10/60*PI()/4*AD19*AD19/1000&gt;AC19,AC19,'Reduce Process Time'!$L$10/60*PI()/4*AD19*AD19/1000)</f>
        <v>2.6507188014663883</v>
      </c>
      <c r="AF19" s="97">
        <f t="shared" si="3"/>
        <v>3817.0350741115994</v>
      </c>
      <c r="AG19" s="98">
        <f>'Reduce Process Time'!$S$16/100*AF19*'Reduce Process Time'!$S$10/1000</f>
        <v>29.009466563248157</v>
      </c>
      <c r="AH19" s="86"/>
    </row>
    <row r="20" spans="2:34" x14ac:dyDescent="0.35">
      <c r="C20" s="71">
        <f>'Minimise Cost'!$L$16</f>
        <v>300</v>
      </c>
      <c r="H20" s="71">
        <f>'Reduce Process Time'!$L$16</f>
        <v>300</v>
      </c>
      <c r="J20" s="71" t="s">
        <v>28</v>
      </c>
      <c r="K20" s="71">
        <f>Settings!$K$18*1000/('Minimise Cost'!$L$10*1.3)*60</f>
        <v>127.5432914918933</v>
      </c>
      <c r="P20"/>
      <c r="Q20" s="145"/>
      <c r="R20" s="145"/>
      <c r="S20" s="163"/>
      <c r="T20" s="164"/>
      <c r="U20" s="164"/>
      <c r="V20" s="164"/>
      <c r="W20" s="164"/>
      <c r="X20" s="171"/>
      <c r="AA20" s="87"/>
      <c r="AB20" s="87"/>
      <c r="AC20" s="107"/>
      <c r="AD20" s="108"/>
      <c r="AE20" s="108"/>
      <c r="AF20" s="108"/>
      <c r="AG20" s="108"/>
      <c r="AH20" s="116"/>
    </row>
    <row r="21" spans="2:34" ht="29" x14ac:dyDescent="0.35">
      <c r="C21" s="71">
        <v>1300</v>
      </c>
      <c r="H21" s="71">
        <v>1300</v>
      </c>
      <c r="J21" s="71" t="s">
        <v>29</v>
      </c>
      <c r="K21" s="71">
        <f>$K$20*('Minimise Cost'!$D$16/2)/1000*2</f>
        <v>2.5508658298378659</v>
      </c>
      <c r="M21" s="71" t="s">
        <v>70</v>
      </c>
      <c r="N21" s="71">
        <f>'Reduce Process Time'!$S$16/100*24/N$16*$N$9/1000</f>
        <v>2.7727088710392489</v>
      </c>
      <c r="P21"/>
      <c r="Q21" s="134" t="s">
        <v>150</v>
      </c>
      <c r="R21" s="134" t="s">
        <v>98</v>
      </c>
      <c r="S21" s="173">
        <v>0.12</v>
      </c>
      <c r="T21" s="170">
        <v>15</v>
      </c>
      <c r="U21" s="153">
        <f>'Minimise Cost'!$L$10/60*PI()/4*T21*T21/1000</f>
        <v>0.2945243112740431</v>
      </c>
      <c r="V21" s="154">
        <f t="shared" ref="V21:V22" si="4">U21*24*60</f>
        <v>424.11500823462205</v>
      </c>
      <c r="W21" s="157">
        <f>'Minimise Cost'!$S$16/100*V21*'Minimise Cost'!$S$10/1000</f>
        <v>2.4174555469373455</v>
      </c>
      <c r="X21" s="137"/>
      <c r="AA21" s="134" t="s">
        <v>150</v>
      </c>
      <c r="AB21" s="75" t="s">
        <v>98</v>
      </c>
      <c r="AC21" s="120">
        <v>0.12</v>
      </c>
      <c r="AD21" s="115">
        <v>15</v>
      </c>
      <c r="AE21" s="96">
        <f>'Reduce Process Time'!$L$10/60*PI()/4*AD21*AD21/1000</f>
        <v>0.2945243112740431</v>
      </c>
      <c r="AF21" s="97">
        <f t="shared" ref="AF21:AF22" si="5">AE21*24*60</f>
        <v>424.11500823462205</v>
      </c>
      <c r="AG21" s="98">
        <f>'Reduce Process Time'!$S$16/100*AF21*'Reduce Process Time'!$S$10/1000</f>
        <v>3.2232740625831275</v>
      </c>
      <c r="AH21" s="86"/>
    </row>
    <row r="22" spans="2:34" x14ac:dyDescent="0.35">
      <c r="J22" s="71" t="s">
        <v>54</v>
      </c>
      <c r="K22" s="71">
        <f>2*('Minimise Cost'!$D$22*1.5)/'Minimise Cost'!$S$10*Settings!$K$21/Settings!$K$18/60</f>
        <v>3.8461538461538454</v>
      </c>
      <c r="M22" s="71" t="s">
        <v>71</v>
      </c>
      <c r="N22" s="71">
        <f>'Reduce Process Time'!$S$10*Settings!$N$13*24*60/1000*'Reduce Process Time'!$S$16/100</f>
        <v>7.449344500192117</v>
      </c>
      <c r="P22"/>
      <c r="Q22" s="134"/>
      <c r="R22" s="134" t="s">
        <v>99</v>
      </c>
      <c r="S22" s="173">
        <v>20</v>
      </c>
      <c r="T22" s="170">
        <v>60</v>
      </c>
      <c r="U22" s="155">
        <f>IF('Minimise Cost'!$L$10/60*PI()/4*T22*T22/1000&gt;S22,S22,'Minimise Cost'!$L$10/60*PI()/4*T22*T22/1000)</f>
        <v>4.7123889803846897</v>
      </c>
      <c r="V22" s="154">
        <f t="shared" si="4"/>
        <v>6785.8401317539528</v>
      </c>
      <c r="W22" s="157">
        <f>'Minimise Cost'!$S$16/100*V22*'Minimise Cost'!$S$10/1000</f>
        <v>38.679288750997529</v>
      </c>
      <c r="X22" s="137"/>
      <c r="AA22" s="75"/>
      <c r="AB22" s="75" t="s">
        <v>99</v>
      </c>
      <c r="AC22" s="121">
        <v>20</v>
      </c>
      <c r="AD22" s="115">
        <v>60</v>
      </c>
      <c r="AE22" s="98">
        <f>IF('Reduce Process Time'!$L$10/60*PI()/4*AD22*AD22/1000&gt;AC22,AC22,'Reduce Process Time'!$L$10/60*PI()/4*AD22*AD22/1000)</f>
        <v>4.7123889803846897</v>
      </c>
      <c r="AF22" s="97">
        <f t="shared" si="5"/>
        <v>6785.8401317539528</v>
      </c>
      <c r="AG22" s="98">
        <f>'Reduce Process Time'!$S$16/100*AF22*'Reduce Process Time'!$S$10/1000</f>
        <v>51.572385001330041</v>
      </c>
      <c r="AH22" s="86"/>
    </row>
    <row r="23" spans="2:34" ht="29" x14ac:dyDescent="0.35">
      <c r="J23" s="119" t="s">
        <v>55</v>
      </c>
      <c r="K23" s="71">
        <f>2*20*$K$21</f>
        <v>102.03463319351464</v>
      </c>
      <c r="M23" s="124" t="s">
        <v>72</v>
      </c>
      <c r="N23" s="124">
        <f>$N$21*1000/24</f>
        <v>115.52953629330204</v>
      </c>
      <c r="P23"/>
      <c r="Q23"/>
      <c r="R23"/>
      <c r="S23"/>
      <c r="T23"/>
      <c r="U23"/>
      <c r="V23"/>
      <c r="W23"/>
      <c r="X23"/>
    </row>
    <row r="24" spans="2:34" ht="29" x14ac:dyDescent="0.35">
      <c r="J24" s="119" t="s">
        <v>56</v>
      </c>
      <c r="K24" s="71">
        <f>$K$23*24/$K$22</f>
        <v>636.69611112753148</v>
      </c>
      <c r="M24" s="124" t="s">
        <v>73</v>
      </c>
      <c r="N24" s="124">
        <f>$N$22*1000/24</f>
        <v>310.38935417467155</v>
      </c>
      <c r="P24"/>
      <c r="Q24"/>
      <c r="R24" s="174" t="s">
        <v>125</v>
      </c>
      <c r="S24">
        <f>K18</f>
        <v>0.27634379823243554</v>
      </c>
      <c r="T24"/>
      <c r="U24"/>
      <c r="V24"/>
      <c r="W24"/>
      <c r="X24"/>
      <c r="AA24" s="122" t="s">
        <v>37</v>
      </c>
      <c r="AB24" s="71">
        <f>N13</f>
        <v>0.68067840827778858</v>
      </c>
    </row>
    <row r="25" spans="2:34" ht="29" x14ac:dyDescent="0.35">
      <c r="P25"/>
      <c r="Q25"/>
      <c r="R25" s="174" t="s">
        <v>126</v>
      </c>
      <c r="S25">
        <f>K19</f>
        <v>0.82903139469730658</v>
      </c>
      <c r="T25"/>
      <c r="U25"/>
      <c r="V25"/>
      <c r="W25"/>
      <c r="X25"/>
      <c r="AA25" s="123" t="s">
        <v>66</v>
      </c>
      <c r="AB25" s="71">
        <f>N14</f>
        <v>2.0420352248333655</v>
      </c>
    </row>
    <row r="26" spans="2:34" x14ac:dyDescent="0.35">
      <c r="J26" s="71" t="s">
        <v>49</v>
      </c>
      <c r="K26" s="71">
        <f>$K$15/$K$6</f>
        <v>0.38</v>
      </c>
      <c r="M26" s="71" t="s">
        <v>49</v>
      </c>
      <c r="N26" s="71">
        <f>$N$21/$N$6</f>
        <v>0.44129032258064499</v>
      </c>
      <c r="P26"/>
      <c r="Q26"/>
      <c r="R26"/>
      <c r="S26"/>
      <c r="T26"/>
      <c r="U26"/>
      <c r="V26"/>
      <c r="W26"/>
      <c r="X26"/>
    </row>
    <row r="27" spans="2:34" x14ac:dyDescent="0.35">
      <c r="J27" s="71" t="s">
        <v>50</v>
      </c>
      <c r="K27" s="71">
        <f>$K$15/$K$21</f>
        <v>0.93600000000000017</v>
      </c>
      <c r="M27" s="71" t="s">
        <v>50</v>
      </c>
      <c r="N27" s="71">
        <f>$N$22/2/$N$8</f>
        <v>1.1855999999999998</v>
      </c>
      <c r="P27"/>
      <c r="Q27" t="s">
        <v>103</v>
      </c>
      <c r="R27"/>
      <c r="S27"/>
      <c r="T27"/>
      <c r="U27"/>
      <c r="V27"/>
      <c r="W27"/>
      <c r="X27"/>
      <c r="AA27" s="71" t="s">
        <v>103</v>
      </c>
    </row>
    <row r="28" spans="2:34" x14ac:dyDescent="0.35">
      <c r="J28" s="124" t="s">
        <v>51</v>
      </c>
      <c r="K28" s="124">
        <f>K26*1000/24</f>
        <v>15.833333333333334</v>
      </c>
      <c r="M28" s="124" t="s">
        <v>51</v>
      </c>
      <c r="N28" s="124">
        <f>$N$26*1000/24</f>
        <v>18.387096774193541</v>
      </c>
      <c r="P28"/>
      <c r="Q28" s="175" t="str">
        <f>IF(AND(AND($S$24&gt;=U12,$S$24&lt;=S13),AND($S$25&gt;=S12,$S$25&lt;=S13)),Q12,IF(AND(AND($S$24&gt;=U15,$S$24&lt;=S16),AND($S$25&gt;=S15,$S$25&lt;=S16)),Q15,IF(AND(AND($S$24&gt;=U18,$S$24&lt;=S19),AND($S$25&gt;=S18,$S$25&lt;=S19)),Q18,IF(AND(AND($S$24&gt;=U21,$S$24&lt;=S22),AND($S$25&gt;=S21,$S$25&lt;=S22)),Q21,"-"))))</f>
        <v>Twin Capture  300</v>
      </c>
      <c r="R28"/>
      <c r="S28"/>
      <c r="T28"/>
      <c r="U28"/>
      <c r="V28"/>
      <c r="W28"/>
      <c r="X28"/>
      <c r="AA28" s="125" t="str">
        <f>IF(AND(AND($AB$24&gt;=AE12,$AB$24&lt;=AC13),AND($AB$25&gt;=AC12,$AB$25&lt;=AC13)),AA12,IF(AND(AND($AB$24&gt;=AE15,$AB$24&lt;=AC16),AND($AB$25&gt;=AC15,$AB$25&lt;=AC16)),AA15,IF(AND(AND($AB$24&gt;=AE18,$AB$24&lt;=AC19),AND($AB$25&gt;=AC18,$AB$25&lt;=AC19)),AA18,IF(AND(AND($AB$24&gt;=AE21,$AB$24&lt;=AC22),AND($AB$25&gt;=AC21,$AB$25&lt;=AC22)),AA21,"-"))))</f>
        <v>Twin Capture  300</v>
      </c>
    </row>
    <row r="29" spans="2:34" x14ac:dyDescent="0.35">
      <c r="J29" s="124" t="s">
        <v>52</v>
      </c>
      <c r="K29" s="124">
        <f>K27*1000/24</f>
        <v>39.000000000000007</v>
      </c>
      <c r="M29" s="124" t="s">
        <v>52</v>
      </c>
      <c r="N29" s="124">
        <f>$N$27*1000/24</f>
        <v>49.399999999999984</v>
      </c>
      <c r="Q29"/>
      <c r="R29"/>
      <c r="S29"/>
      <c r="T29"/>
      <c r="U29"/>
      <c r="V29"/>
      <c r="W29"/>
      <c r="X29"/>
    </row>
    <row r="30" spans="2:34" x14ac:dyDescent="0.35">
      <c r="D30" s="126"/>
      <c r="Q30"/>
      <c r="R30"/>
      <c r="S30"/>
      <c r="T30"/>
      <c r="U30"/>
      <c r="V30"/>
      <c r="W30"/>
      <c r="X30"/>
      <c r="AA30" s="71" t="str">
        <f>Q28</f>
        <v>Twin Capture  300</v>
      </c>
    </row>
    <row r="31" spans="2:34" x14ac:dyDescent="0.35">
      <c r="J31" s="71" t="s">
        <v>53</v>
      </c>
      <c r="K31" s="71">
        <f>24/K13*K12/K15/1000</f>
        <v>0.42105263157894735</v>
      </c>
      <c r="M31" s="124" t="s">
        <v>53</v>
      </c>
      <c r="N31" s="124">
        <f>24/$N$16*$N$15/$N$21/1000</f>
        <v>0.4210526315789474</v>
      </c>
      <c r="Q31"/>
      <c r="R31"/>
      <c r="S31"/>
      <c r="T31"/>
      <c r="U31"/>
      <c r="V31"/>
      <c r="W31"/>
      <c r="X31"/>
    </row>
    <row r="32" spans="2:34" x14ac:dyDescent="0.35">
      <c r="J32" s="71" t="s">
        <v>57</v>
      </c>
      <c r="K32" s="71">
        <f>$K$24/$K$15/1000</f>
        <v>0.26666666666666666</v>
      </c>
      <c r="M32" s="124" t="s">
        <v>74</v>
      </c>
      <c r="N32" s="124">
        <f>$N$19/$N$22/1000</f>
        <v>0.28070175438596495</v>
      </c>
      <c r="AA32" s="71" t="str">
        <f>IF(AND(AND($AB$24&gt;=AE12,$AB$24&lt;=AE13),AND($AB$25&gt;=AC12,$AB$25&lt;=AC13)),AA12,IF(AND(AND($AB$24&gt;=AE15,$AB$24&lt;=AE16),AND($AB$25&gt;=AC15,$AB$25&lt;=AC16)),AA15,IF(AND(AND($AB$24&gt;=AE18,$AB$24&lt;=AE19),AND($AB$25&gt;=AC18,$AB$25&lt;=AC19)),AA18,"-")))</f>
        <v>Twin Capture 500</v>
      </c>
    </row>
    <row r="33" spans="4:14" x14ac:dyDescent="0.35">
      <c r="D33" s="126"/>
    </row>
    <row r="34" spans="4:14" x14ac:dyDescent="0.35">
      <c r="J34" s="124" t="s">
        <v>127</v>
      </c>
      <c r="K34" s="124">
        <f>($K$6-$K$21)/$K$6</f>
        <v>0.59401709401709413</v>
      </c>
      <c r="M34" s="124" t="s">
        <v>128</v>
      </c>
      <c r="N34" s="124">
        <f>($N$22/$N$21)</f>
        <v>2.6866666666666674</v>
      </c>
    </row>
    <row r="35" spans="4:14" ht="29" x14ac:dyDescent="0.35">
      <c r="J35" s="124" t="s">
        <v>58</v>
      </c>
      <c r="K35" s="124">
        <f>($K$6-$K$21)*'Minimise Cost'!$L$22</f>
        <v>52252.4726827841</v>
      </c>
      <c r="M35" s="127" t="s">
        <v>75</v>
      </c>
      <c r="N35" s="124">
        <f>($N$31-$N$32)/$N$31</f>
        <v>0.33333333333333331</v>
      </c>
    </row>
    <row r="36" spans="4:14" x14ac:dyDescent="0.35">
      <c r="J36" s="124" t="s">
        <v>40</v>
      </c>
      <c r="K36" s="124">
        <f>'Minimise Cost'!$L$22</f>
        <v>14000</v>
      </c>
    </row>
    <row r="37" spans="4:14" x14ac:dyDescent="0.35">
      <c r="M37" s="124" t="s">
        <v>31</v>
      </c>
      <c r="N37" s="124">
        <f>($N$31-$N$32)*2000*'Reduce Process Time'!$S$10</f>
        <v>2245.614035087719</v>
      </c>
    </row>
    <row r="38" spans="4:14" x14ac:dyDescent="0.35">
      <c r="J38" s="124" t="s">
        <v>59</v>
      </c>
      <c r="K38" s="124">
        <f>($K$27-$K$26)/$K$27</f>
        <v>0.59401709401709413</v>
      </c>
      <c r="M38" s="128" t="s">
        <v>58</v>
      </c>
      <c r="N38" s="128">
        <f>$N$37*'Minimise Cost'!$S$22</f>
        <v>22456.140350877191</v>
      </c>
    </row>
    <row r="39" spans="4:14" x14ac:dyDescent="0.35">
      <c r="M39" s="128" t="s">
        <v>40</v>
      </c>
      <c r="N39" s="128">
        <f>'Minimise Cost'!$S$22</f>
        <v>10</v>
      </c>
    </row>
    <row r="40" spans="4:14" x14ac:dyDescent="0.35">
      <c r="J40" s="124" t="s">
        <v>60</v>
      </c>
      <c r="K40" s="124">
        <f>($K$31-$K$32)*2000*'Minimise Cost'!$S$10</f>
        <v>1852.6315789473683</v>
      </c>
    </row>
    <row r="41" spans="4:14" x14ac:dyDescent="0.35">
      <c r="J41" s="124" t="s">
        <v>58</v>
      </c>
      <c r="K41" s="124">
        <f>$K$40*'Minimise Cost'!$S$22</f>
        <v>18526.315789473683</v>
      </c>
    </row>
    <row r="42" spans="4:14" x14ac:dyDescent="0.35">
      <c r="J42" s="124" t="s">
        <v>40</v>
      </c>
      <c r="K42" s="124">
        <f>'Minimise Cost'!$S$22</f>
        <v>10</v>
      </c>
      <c r="M42" s="124" t="s">
        <v>76</v>
      </c>
      <c r="N42" s="124">
        <v>54321</v>
      </c>
    </row>
    <row r="43" spans="4:14" x14ac:dyDescent="0.35">
      <c r="M43" s="124" t="s">
        <v>77</v>
      </c>
      <c r="N43" s="124">
        <v>45</v>
      </c>
    </row>
    <row r="44" spans="4:14" x14ac:dyDescent="0.35">
      <c r="J44" s="124" t="s">
        <v>76</v>
      </c>
      <c r="K44" s="124">
        <v>12344</v>
      </c>
    </row>
    <row r="45" spans="4:14" x14ac:dyDescent="0.35">
      <c r="J45" s="124" t="s">
        <v>77</v>
      </c>
      <c r="K45" s="124">
        <v>56</v>
      </c>
    </row>
    <row r="48" spans="4:14" x14ac:dyDescent="0.35">
      <c r="M48" s="71" t="s">
        <v>104</v>
      </c>
      <c r="N48" s="129">
        <v>1</v>
      </c>
    </row>
    <row r="49" spans="13:15" x14ac:dyDescent="0.35">
      <c r="M49" s="71" t="str">
        <f>M34</f>
        <v>increase in Productivity</v>
      </c>
      <c r="N49" s="129">
        <f>N34</f>
        <v>2.6866666666666674</v>
      </c>
    </row>
    <row r="52" spans="13:15" x14ac:dyDescent="0.35">
      <c r="M52" s="71" t="str">
        <f>M48</f>
        <v>Total</v>
      </c>
      <c r="N52" s="130">
        <v>1</v>
      </c>
    </row>
    <row r="53" spans="13:15" x14ac:dyDescent="0.35">
      <c r="M53" s="71" t="s">
        <v>75</v>
      </c>
      <c r="N53" s="130">
        <f>N35</f>
        <v>0.33333333333333331</v>
      </c>
    </row>
    <row r="59" spans="13:15" x14ac:dyDescent="0.35">
      <c r="M59" s="71" t="s">
        <v>108</v>
      </c>
    </row>
    <row r="60" spans="13:15" x14ac:dyDescent="0.35">
      <c r="N60" s="71" t="str">
        <f>'Reduce Process Time - Result'!B5</f>
        <v>Batch Process</v>
      </c>
      <c r="O60" s="71" t="str">
        <f>'Reduce Process Time - Result'!D5</f>
        <v>Continuous Process</v>
      </c>
    </row>
    <row r="61" spans="13:15" x14ac:dyDescent="0.35">
      <c r="M61" s="71" t="str">
        <f>'Reduce Process Time - Result'!A7</f>
        <v>Throughput  (g/h)</v>
      </c>
      <c r="N61" s="131">
        <f>'Reduce Process Time - Result'!B7</f>
        <v>115.52953629330204</v>
      </c>
      <c r="O61" s="131">
        <f>'Reduce Process Time - Result'!D7</f>
        <v>310.38935417467155</v>
      </c>
    </row>
    <row r="62" spans="13:15" x14ac:dyDescent="0.35">
      <c r="M62" s="71" t="str">
        <f>'Reduce Process Time - Result'!A8</f>
        <v>Productivity (g/L resin/h)</v>
      </c>
      <c r="N62" s="132">
        <f>'Reduce Process Time - Result'!B8</f>
        <v>18.387096774193541</v>
      </c>
      <c r="O62" s="132">
        <f>'Reduce Process Time - Result'!D8</f>
        <v>49.399999999999984</v>
      </c>
    </row>
    <row r="63" spans="13:15" x14ac:dyDescent="0.35">
      <c r="M63" s="71" t="str">
        <f>'Reduce Process Time - Result'!A9</f>
        <v>Buffer Consumption (L/g protein)</v>
      </c>
      <c r="N63" s="132">
        <f>'Reduce Process Time - Result'!B9</f>
        <v>0.4210526315789474</v>
      </c>
      <c r="O63" s="132">
        <f>'Reduce Process Time - Result'!D9</f>
        <v>0.28070175438596495</v>
      </c>
    </row>
    <row r="66" spans="13:15" x14ac:dyDescent="0.35">
      <c r="M66" s="71" t="s">
        <v>109</v>
      </c>
    </row>
    <row r="67" spans="13:15" x14ac:dyDescent="0.35">
      <c r="N67" s="71" t="str">
        <f>'Minimise Cost - Result'!B5</f>
        <v>Batch Process</v>
      </c>
      <c r="O67" s="71" t="str">
        <f>'Minimise Cost - Result'!D5</f>
        <v>Continuous Process</v>
      </c>
    </row>
    <row r="68" spans="13:15" x14ac:dyDescent="0.35">
      <c r="M68" s="71" t="str">
        <f>'Minimise Cost - Result'!A7</f>
        <v>Throughput  (g/h)</v>
      </c>
      <c r="N68" s="71">
        <f>'Minimise Cost - Result'!B7</f>
        <v>99.48376736367679</v>
      </c>
      <c r="O68" s="71">
        <f>'Minimise Cost - Result'!D7</f>
        <v>99.48376736367679</v>
      </c>
    </row>
    <row r="69" spans="13:15" x14ac:dyDescent="0.35">
      <c r="M69" s="71" t="str">
        <f>'Minimise Cost - Result'!A8</f>
        <v>Productivity (g/L resin/h)</v>
      </c>
      <c r="N69" s="71">
        <f>'Minimise Cost - Result'!B8</f>
        <v>15.833333333333334</v>
      </c>
      <c r="O69" s="71">
        <f>'Minimise Cost - Result'!D8</f>
        <v>39.000000000000007</v>
      </c>
    </row>
    <row r="70" spans="13:15" x14ac:dyDescent="0.35">
      <c r="M70" s="71" t="str">
        <f>'Minimise Cost - Result'!A9</f>
        <v>Buffer Consumption (L/g protein)</v>
      </c>
      <c r="N70" s="71">
        <f>'Minimise Cost - Result'!B9</f>
        <v>0.42105263157894735</v>
      </c>
      <c r="O70" s="71">
        <f>'Minimise Cost - Result'!D9</f>
        <v>0.26666666666666666</v>
      </c>
    </row>
  </sheetData>
  <pageMargins left="0.7" right="0.7" top="0.75" bottom="0.75" header="0.3" footer="0.3"/>
  <pageSetup orientation="portrait" r:id="rId1"/>
  <ignoredErrors>
    <ignoredError sqref="N6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A28"/>
  <sheetViews>
    <sheetView showGridLines="0" showRowColHeaders="0" tabSelected="1" zoomScale="80" zoomScaleNormal="80" workbookViewId="0">
      <selection activeCell="Q9" sqref="Q9"/>
    </sheetView>
  </sheetViews>
  <sheetFormatPr defaultRowHeight="14.5" x14ac:dyDescent="0.35"/>
  <cols>
    <col min="1" max="1" width="9.08984375" style="62"/>
    <col min="12" max="12" width="6.36328125" customWidth="1"/>
    <col min="16" max="16" width="11.36328125" customWidth="1"/>
    <col min="17" max="17" width="14" customWidth="1"/>
    <col min="18" max="18" width="9.08984375" customWidth="1"/>
    <col min="23" max="23" width="7.90625" customWidth="1"/>
    <col min="24" max="24" width="3.6328125" customWidth="1"/>
    <col min="25" max="25" width="1.90625" customWidth="1"/>
  </cols>
  <sheetData>
    <row r="1" spans="1:27" s="16" customFormat="1" ht="15" customHeight="1" x14ac:dyDescent="0.35">
      <c r="A1" s="60"/>
      <c r="J1" s="25"/>
      <c r="K1" s="25"/>
      <c r="L1" s="25"/>
      <c r="M1" s="25"/>
      <c r="N1" s="25"/>
      <c r="O1" s="25"/>
      <c r="P1" s="25"/>
      <c r="Q1" s="25"/>
      <c r="R1" s="25"/>
      <c r="S1" s="25"/>
    </row>
    <row r="2" spans="1:27" s="16" customFormat="1" ht="15" customHeight="1" x14ac:dyDescent="0.35">
      <c r="A2" s="61"/>
      <c r="J2" s="25"/>
      <c r="K2" s="25"/>
      <c r="L2" s="25"/>
      <c r="M2" s="25"/>
      <c r="N2" s="25"/>
      <c r="O2" s="25"/>
      <c r="P2" s="25"/>
      <c r="Q2" s="25"/>
      <c r="R2" s="25"/>
      <c r="S2" s="25"/>
    </row>
    <row r="3" spans="1:27" ht="15" customHeight="1" x14ac:dyDescent="0.35">
      <c r="K3" s="9"/>
      <c r="L3" s="9"/>
      <c r="M3" s="9"/>
      <c r="N3" s="9"/>
      <c r="O3" s="9"/>
      <c r="P3" s="9"/>
      <c r="Q3" s="9"/>
      <c r="R3" s="9"/>
      <c r="T3" t="s">
        <v>18</v>
      </c>
    </row>
    <row r="4" spans="1:27" ht="15" customHeight="1" x14ac:dyDescent="0.35">
      <c r="K4" s="9"/>
      <c r="L4" s="9"/>
      <c r="M4" s="9"/>
      <c r="N4" s="9"/>
      <c r="O4" s="9"/>
      <c r="P4" s="9"/>
      <c r="Q4" s="9"/>
      <c r="R4" s="9"/>
    </row>
    <row r="5" spans="1:27" ht="15" customHeight="1" x14ac:dyDescent="0.35">
      <c r="K5" s="9"/>
      <c r="L5" s="9"/>
      <c r="M5" s="9"/>
      <c r="N5" s="9"/>
      <c r="O5" s="9"/>
      <c r="P5" s="9"/>
      <c r="Q5" s="9"/>
      <c r="R5" s="9"/>
    </row>
    <row r="6" spans="1:27" ht="28.5" customHeight="1" x14ac:dyDescent="0.35">
      <c r="M6" s="179" t="s">
        <v>142</v>
      </c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2"/>
      <c r="AA6" s="2"/>
    </row>
    <row r="7" spans="1:27" ht="41.25" customHeight="1" x14ac:dyDescent="0.35">
      <c r="M7" s="179"/>
      <c r="N7" s="179"/>
      <c r="O7" s="179"/>
      <c r="P7" s="179"/>
      <c r="Q7" s="179"/>
      <c r="R7" s="179"/>
      <c r="S7" s="179"/>
      <c r="T7" s="179"/>
      <c r="U7" s="179"/>
      <c r="V7" s="179"/>
      <c r="W7" s="179"/>
      <c r="X7" s="179"/>
      <c r="Y7" s="179"/>
      <c r="Z7" s="2"/>
      <c r="AA7" s="2"/>
    </row>
    <row r="8" spans="1:27" x14ac:dyDescent="0.35">
      <c r="P8" s="3"/>
      <c r="Q8" s="3"/>
      <c r="R8" s="3"/>
      <c r="S8" s="3"/>
      <c r="T8" s="3"/>
    </row>
    <row r="9" spans="1:27" ht="23.5" x14ac:dyDescent="0.55000000000000004">
      <c r="O9" s="42" t="s">
        <v>0</v>
      </c>
      <c r="P9" s="17"/>
      <c r="Q9" s="17"/>
      <c r="R9" s="17"/>
      <c r="S9" s="7"/>
    </row>
    <row r="10" spans="1:27" ht="18.5" x14ac:dyDescent="0.45">
      <c r="O10" s="43" t="s">
        <v>136</v>
      </c>
    </row>
    <row r="13" spans="1:27" ht="18.5" x14ac:dyDescent="0.45">
      <c r="P13" s="4"/>
    </row>
    <row r="15" spans="1:27" ht="23.5" x14ac:dyDescent="0.55000000000000004">
      <c r="O15" s="42" t="s">
        <v>137</v>
      </c>
      <c r="P15" s="17"/>
      <c r="Q15" s="17"/>
      <c r="R15" s="17"/>
      <c r="S15" s="17"/>
      <c r="T15" s="7"/>
      <c r="U15" s="7"/>
    </row>
    <row r="16" spans="1:27" ht="18.5" x14ac:dyDescent="0.45">
      <c r="O16" s="43" t="s">
        <v>1</v>
      </c>
    </row>
    <row r="19" spans="1:20" ht="18.5" x14ac:dyDescent="0.45">
      <c r="N19" s="8"/>
      <c r="O19" s="8"/>
      <c r="P19" s="8"/>
      <c r="Q19" s="8"/>
      <c r="R19" s="8"/>
      <c r="S19" s="5"/>
      <c r="T19" s="5"/>
    </row>
    <row r="20" spans="1:20" ht="18.5" x14ac:dyDescent="0.45">
      <c r="S20" s="5"/>
      <c r="T20" s="1" t="s">
        <v>19</v>
      </c>
    </row>
    <row r="22" spans="1:20" x14ac:dyDescent="0.35">
      <c r="M22" s="23"/>
      <c r="N22" s="23"/>
      <c r="O22" s="23"/>
      <c r="P22" s="23"/>
      <c r="Q22" s="23"/>
      <c r="R22" s="23"/>
      <c r="S22" s="23"/>
    </row>
    <row r="24" spans="1:20" x14ac:dyDescent="0.35">
      <c r="P24" s="23"/>
    </row>
    <row r="26" spans="1:20" x14ac:dyDescent="0.35">
      <c r="I26" s="71"/>
    </row>
    <row r="28" spans="1:20" x14ac:dyDescent="0.35">
      <c r="A28" s="63" t="s">
        <v>79</v>
      </c>
      <c r="B28" s="7"/>
      <c r="C28" s="7"/>
      <c r="D28" s="7"/>
      <c r="E28" s="7"/>
      <c r="F28" s="7"/>
      <c r="G28" s="7"/>
    </row>
  </sheetData>
  <mergeCells count="1">
    <mergeCell ref="M6:Y7"/>
  </mergeCells>
  <hyperlinks>
    <hyperlink ref="O9:S9" location="'Minimise cost'!A1" display="Minimize my Protein A (resin) cost" xr:uid="{00000000-0004-0000-0100-000000000000}"/>
    <hyperlink ref="O15:U15" location="'Reduce Process Time'!A1" display="Reduce my process time (increase productivity)" xr:uid="{00000000-0004-0000-0100-000001000000}"/>
    <hyperlink ref="A28:G28" location="Notes!A1" display="**Click here for Assumptions made and Legal notes of LEWA" xr:uid="{00000000-0004-0000-0100-000002000000}"/>
  </hyperlinks>
  <pageMargins left="0.5" right="0.5" top="0.5" bottom="0.5" header="0.2" footer="0.2"/>
  <pageSetup paperSize="9" scale="57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Y32"/>
  <sheetViews>
    <sheetView showGridLines="0" showRowColHeaders="0" topLeftCell="A7" zoomScale="80" zoomScaleNormal="80" workbookViewId="0">
      <selection activeCell="Q12" sqref="Q12"/>
    </sheetView>
  </sheetViews>
  <sheetFormatPr defaultRowHeight="14.5" x14ac:dyDescent="0.35"/>
  <cols>
    <col min="1" max="2" width="9.08984375" style="10"/>
    <col min="3" max="3" width="16.08984375" style="10" customWidth="1"/>
    <col min="4" max="4" width="14.36328125" style="10" customWidth="1"/>
    <col min="5" max="5" width="9.08984375" style="10"/>
    <col min="6" max="11" width="9.08984375" style="10" customWidth="1"/>
    <col min="12" max="12" width="14.36328125" style="10" customWidth="1"/>
    <col min="13" max="14" width="9.08984375" style="10" customWidth="1"/>
    <col min="15" max="15" width="9.08984375" style="10"/>
    <col min="16" max="18" width="9.08984375" style="10" customWidth="1"/>
    <col min="19" max="19" width="14.36328125" style="10" customWidth="1"/>
    <col min="20" max="20" width="9.08984375" style="10"/>
    <col min="22" max="25" width="9.08984375" style="10"/>
  </cols>
  <sheetData>
    <row r="1" spans="1:20" s="24" customFormat="1" ht="15" customHeight="1" x14ac:dyDescent="0.35"/>
    <row r="2" spans="1:20" s="24" customFormat="1" ht="15" customHeight="1" x14ac:dyDescent="0.35"/>
    <row r="4" spans="1:20" ht="31" x14ac:dyDescent="0.35">
      <c r="A4" s="64" t="s">
        <v>0</v>
      </c>
      <c r="Q4"/>
    </row>
    <row r="5" spans="1:20" ht="18.5" x14ac:dyDescent="0.35">
      <c r="A5" s="65" t="s">
        <v>136</v>
      </c>
    </row>
    <row r="6" spans="1:20" ht="15" customHeight="1" x14ac:dyDescent="0.35">
      <c r="A6" s="50"/>
    </row>
    <row r="7" spans="1:20" x14ac:dyDescent="0.35">
      <c r="A7" s="50"/>
      <c r="J7"/>
    </row>
    <row r="8" spans="1:20" x14ac:dyDescent="0.35">
      <c r="A8" s="50"/>
      <c r="N8" s="20"/>
    </row>
    <row r="9" spans="1:20" x14ac:dyDescent="0.35">
      <c r="A9" s="50"/>
    </row>
    <row r="10" spans="1:20" ht="18.5" x14ac:dyDescent="0.45">
      <c r="A10" s="51" t="s">
        <v>2</v>
      </c>
      <c r="B10" s="13"/>
      <c r="C10" s="13"/>
      <c r="D10" s="48">
        <v>20</v>
      </c>
      <c r="E10" s="29" t="s">
        <v>4</v>
      </c>
      <c r="H10" s="29" t="s">
        <v>8</v>
      </c>
      <c r="L10" s="48">
        <v>100</v>
      </c>
      <c r="M10" s="29" t="s">
        <v>119</v>
      </c>
      <c r="P10" s="29" t="s">
        <v>10</v>
      </c>
      <c r="S10" s="48">
        <v>6</v>
      </c>
      <c r="T10" s="29" t="s">
        <v>11</v>
      </c>
    </row>
    <row r="11" spans="1:20" ht="15" customHeight="1" x14ac:dyDescent="0.35">
      <c r="A11" s="52"/>
      <c r="B11" s="13"/>
      <c r="C11" s="13"/>
      <c r="P11" s="13"/>
    </row>
    <row r="12" spans="1:20" x14ac:dyDescent="0.35">
      <c r="A12" s="52"/>
      <c r="B12" s="13"/>
      <c r="C12" s="13"/>
      <c r="P12" s="13"/>
      <c r="T12" s="12"/>
    </row>
    <row r="13" spans="1:20" ht="15" customHeight="1" x14ac:dyDescent="0.35">
      <c r="A13" s="50"/>
      <c r="B13" s="13"/>
      <c r="C13" s="13"/>
      <c r="P13" s="13"/>
    </row>
    <row r="14" spans="1:20" x14ac:dyDescent="0.35">
      <c r="A14" s="52"/>
      <c r="B14" s="13"/>
      <c r="C14" s="13"/>
      <c r="P14" s="13"/>
    </row>
    <row r="15" spans="1:20" x14ac:dyDescent="0.35">
      <c r="A15" s="50"/>
      <c r="P15" s="13"/>
    </row>
    <row r="16" spans="1:20" ht="18.75" customHeight="1" x14ac:dyDescent="0.45">
      <c r="A16" s="51" t="s">
        <v>3</v>
      </c>
      <c r="B16" s="13"/>
      <c r="C16" s="13"/>
      <c r="D16" s="48">
        <v>20</v>
      </c>
      <c r="E16" s="29" t="s">
        <v>4</v>
      </c>
      <c r="H16" s="29" t="s">
        <v>9</v>
      </c>
      <c r="L16" s="48">
        <v>300</v>
      </c>
      <c r="M16" s="29" t="s">
        <v>119</v>
      </c>
      <c r="P16" s="29" t="s">
        <v>20</v>
      </c>
      <c r="S16" s="49">
        <v>95</v>
      </c>
      <c r="T16" s="29" t="s">
        <v>12</v>
      </c>
    </row>
    <row r="17" spans="1:20" x14ac:dyDescent="0.35">
      <c r="A17" s="52"/>
      <c r="B17" s="13"/>
      <c r="C17" s="13"/>
      <c r="P17" s="13"/>
      <c r="R17" s="13"/>
    </row>
    <row r="18" spans="1:20" x14ac:dyDescent="0.35">
      <c r="A18" s="52"/>
      <c r="B18" s="13"/>
      <c r="C18"/>
      <c r="D18"/>
      <c r="E18"/>
    </row>
    <row r="19" spans="1:20" ht="15" customHeight="1" x14ac:dyDescent="0.35">
      <c r="A19" s="50"/>
      <c r="B19" s="13"/>
      <c r="C19"/>
      <c r="D19"/>
      <c r="E19"/>
    </row>
    <row r="20" spans="1:20" ht="15" customHeight="1" x14ac:dyDescent="0.35">
      <c r="A20" s="50"/>
      <c r="P20" s="13"/>
    </row>
    <row r="21" spans="1:20" x14ac:dyDescent="0.35">
      <c r="A21" s="50"/>
      <c r="C21"/>
      <c r="D21"/>
      <c r="E21"/>
    </row>
    <row r="22" spans="1:20" ht="18.75" customHeight="1" x14ac:dyDescent="0.55000000000000004">
      <c r="A22" s="51" t="s">
        <v>5</v>
      </c>
      <c r="B22" s="13"/>
      <c r="C22"/>
      <c r="D22" s="48">
        <v>50</v>
      </c>
      <c r="E22" s="29" t="s">
        <v>41</v>
      </c>
      <c r="H22" s="29" t="s">
        <v>43</v>
      </c>
      <c r="L22" s="49">
        <v>14000</v>
      </c>
      <c r="M22" s="29" t="s">
        <v>6</v>
      </c>
      <c r="P22" s="29" t="s">
        <v>7</v>
      </c>
      <c r="S22" s="49">
        <v>10</v>
      </c>
      <c r="T22" s="29" t="s">
        <v>6</v>
      </c>
    </row>
    <row r="23" spans="1:20" x14ac:dyDescent="0.35">
      <c r="A23" s="50"/>
      <c r="C23"/>
      <c r="D23"/>
      <c r="E23"/>
    </row>
    <row r="24" spans="1:20" x14ac:dyDescent="0.35">
      <c r="A24" s="50"/>
    </row>
    <row r="25" spans="1:20" x14ac:dyDescent="0.35">
      <c r="A25" s="50"/>
    </row>
    <row r="26" spans="1:20" x14ac:dyDescent="0.35">
      <c r="A26" s="50"/>
    </row>
    <row r="27" spans="1:20" x14ac:dyDescent="0.35">
      <c r="A27" s="50"/>
    </row>
    <row r="28" spans="1:20" x14ac:dyDescent="0.35">
      <c r="A28" s="50"/>
    </row>
    <row r="32" spans="1:20" x14ac:dyDescent="0.35">
      <c r="A32" s="11"/>
    </row>
  </sheetData>
  <pageMargins left="0.5" right="0.5" top="0.5" bottom="0.5" header="0.2" footer="0.2"/>
  <pageSetup scale="57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pageSetUpPr fitToPage="1"/>
  </sheetPr>
  <dimension ref="A1:T32"/>
  <sheetViews>
    <sheetView showGridLines="0" showRowColHeaders="0" topLeftCell="A7" zoomScale="80" zoomScaleNormal="80" workbookViewId="0">
      <selection activeCell="Q19" sqref="Q19"/>
    </sheetView>
  </sheetViews>
  <sheetFormatPr defaultRowHeight="14.5" x14ac:dyDescent="0.35"/>
  <cols>
    <col min="3" max="3" width="16" customWidth="1"/>
    <col min="4" max="4" width="14.36328125" customWidth="1"/>
    <col min="6" max="7" width="9.08984375" customWidth="1"/>
    <col min="10" max="11" width="9.08984375" customWidth="1"/>
    <col min="12" max="12" width="14.36328125" customWidth="1"/>
    <col min="13" max="15" width="9.08984375" customWidth="1"/>
    <col min="19" max="19" width="14.36328125" customWidth="1"/>
    <col min="20" max="20" width="9.08984375" customWidth="1"/>
  </cols>
  <sheetData>
    <row r="1" spans="1:20" s="22" customFormat="1" x14ac:dyDescent="0.35"/>
    <row r="2" spans="1:20" s="22" customFormat="1" x14ac:dyDescent="0.35"/>
    <row r="3" spans="1:20" ht="15" customHeight="1" x14ac:dyDescent="0.35"/>
    <row r="4" spans="1:20" ht="31" x14ac:dyDescent="0.35">
      <c r="A4" s="64" t="s">
        <v>137</v>
      </c>
      <c r="B4" s="53"/>
    </row>
    <row r="5" spans="1:20" ht="18.5" x14ac:dyDescent="0.35">
      <c r="A5" s="65" t="s">
        <v>138</v>
      </c>
      <c r="B5" s="53"/>
    </row>
    <row r="6" spans="1:20" x14ac:dyDescent="0.35">
      <c r="A6" s="53"/>
      <c r="B6" s="53"/>
    </row>
    <row r="7" spans="1:20" x14ac:dyDescent="0.35">
      <c r="A7" s="53"/>
      <c r="B7" s="53"/>
    </row>
    <row r="8" spans="1:20" x14ac:dyDescent="0.35">
      <c r="A8" s="53"/>
      <c r="B8" s="53"/>
    </row>
    <row r="9" spans="1:20" x14ac:dyDescent="0.35">
      <c r="A9" s="53"/>
      <c r="B9" s="53"/>
      <c r="T9" s="32"/>
    </row>
    <row r="10" spans="1:20" ht="18.5" x14ac:dyDescent="0.45">
      <c r="A10" s="54" t="s">
        <v>2</v>
      </c>
      <c r="B10" s="53"/>
      <c r="D10" s="48">
        <v>20</v>
      </c>
      <c r="E10" s="31" t="s">
        <v>4</v>
      </c>
      <c r="H10" s="30" t="s">
        <v>8</v>
      </c>
      <c r="L10" s="48">
        <v>100</v>
      </c>
      <c r="M10" s="30" t="s">
        <v>119</v>
      </c>
      <c r="P10" s="30" t="s">
        <v>10</v>
      </c>
      <c r="S10" s="48">
        <v>8</v>
      </c>
      <c r="T10" s="30" t="s">
        <v>11</v>
      </c>
    </row>
    <row r="11" spans="1:20" x14ac:dyDescent="0.35">
      <c r="A11" s="53"/>
      <c r="B11" s="53"/>
    </row>
    <row r="12" spans="1:20" x14ac:dyDescent="0.35">
      <c r="A12" s="53"/>
      <c r="B12" s="53"/>
    </row>
    <row r="13" spans="1:20" ht="15" customHeight="1" x14ac:dyDescent="0.35">
      <c r="A13" s="53"/>
      <c r="B13" s="53"/>
    </row>
    <row r="14" spans="1:20" x14ac:dyDescent="0.35">
      <c r="A14" s="53"/>
      <c r="B14" s="53"/>
    </row>
    <row r="15" spans="1:20" x14ac:dyDescent="0.35">
      <c r="A15" s="53"/>
      <c r="B15" s="53"/>
    </row>
    <row r="16" spans="1:20" ht="18.75" customHeight="1" x14ac:dyDescent="0.45">
      <c r="A16" s="54" t="s">
        <v>3</v>
      </c>
      <c r="B16" s="53"/>
      <c r="D16" s="48">
        <v>20</v>
      </c>
      <c r="E16" s="30" t="s">
        <v>4</v>
      </c>
      <c r="H16" s="30" t="s">
        <v>9</v>
      </c>
      <c r="L16" s="48">
        <v>300</v>
      </c>
      <c r="M16" s="30" t="s">
        <v>119</v>
      </c>
      <c r="P16" s="30" t="s">
        <v>78</v>
      </c>
      <c r="S16" s="49">
        <v>95</v>
      </c>
      <c r="T16" s="30" t="s">
        <v>12</v>
      </c>
    </row>
    <row r="17" spans="1:5" x14ac:dyDescent="0.35">
      <c r="A17" s="53"/>
      <c r="B17" s="53"/>
    </row>
    <row r="18" spans="1:5" x14ac:dyDescent="0.35">
      <c r="A18" s="53"/>
      <c r="B18" s="53"/>
    </row>
    <row r="19" spans="1:5" ht="15" customHeight="1" x14ac:dyDescent="0.35">
      <c r="A19" s="53"/>
      <c r="B19" s="53"/>
    </row>
    <row r="20" spans="1:5" x14ac:dyDescent="0.35">
      <c r="A20" s="53"/>
      <c r="B20" s="53"/>
    </row>
    <row r="21" spans="1:5" x14ac:dyDescent="0.35">
      <c r="A21" s="53"/>
      <c r="B21" s="53"/>
    </row>
    <row r="22" spans="1:5" ht="18.75" customHeight="1" x14ac:dyDescent="0.55000000000000004">
      <c r="A22" s="54" t="s">
        <v>5</v>
      </c>
      <c r="B22" s="53"/>
      <c r="D22" s="48">
        <v>50</v>
      </c>
      <c r="E22" s="30" t="s">
        <v>42</v>
      </c>
    </row>
    <row r="23" spans="1:5" x14ac:dyDescent="0.35">
      <c r="A23" s="53"/>
      <c r="B23" s="53"/>
    </row>
    <row r="24" spans="1:5" x14ac:dyDescent="0.35">
      <c r="A24" s="53"/>
      <c r="B24" s="53"/>
    </row>
    <row r="25" spans="1:5" x14ac:dyDescent="0.35">
      <c r="A25" s="53"/>
      <c r="B25" s="53"/>
    </row>
    <row r="32" spans="1:5" x14ac:dyDescent="0.35">
      <c r="A32" s="11"/>
    </row>
  </sheetData>
  <pageMargins left="0.5" right="0.5" top="0.5" bottom="0.5" header="0.2" footer="0.2"/>
  <pageSetup scale="57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>
    <pageSetUpPr fitToPage="1"/>
  </sheetPr>
  <dimension ref="A1:U25"/>
  <sheetViews>
    <sheetView showGridLines="0" showRowColHeaders="0" topLeftCell="A7" zoomScale="80" zoomScaleNormal="80" workbookViewId="0">
      <selection activeCell="A20" sqref="A20"/>
    </sheetView>
  </sheetViews>
  <sheetFormatPr defaultRowHeight="14.5" x14ac:dyDescent="0.35"/>
  <cols>
    <col min="1" max="1" width="40" style="56" customWidth="1"/>
    <col min="2" max="2" width="15" customWidth="1"/>
    <col min="3" max="3" width="2.90625" customWidth="1"/>
    <col min="4" max="4" width="22.90625" customWidth="1"/>
    <col min="5" max="5" width="7.08984375" customWidth="1"/>
    <col min="6" max="20" width="8.54296875" customWidth="1"/>
    <col min="21" max="21" width="8.54296875" style="6" customWidth="1"/>
    <col min="22" max="22" width="8.54296875" customWidth="1"/>
  </cols>
  <sheetData>
    <row r="1" spans="1:21" s="22" customFormat="1" x14ac:dyDescent="0.35">
      <c r="A1" s="68"/>
      <c r="U1" s="44"/>
    </row>
    <row r="2" spans="1:21" s="22" customFormat="1" x14ac:dyDescent="0.35">
      <c r="A2" s="55"/>
      <c r="U2" s="44"/>
    </row>
    <row r="5" spans="1:21" ht="21" x14ac:dyDescent="0.5">
      <c r="B5" s="47" t="s">
        <v>13</v>
      </c>
      <c r="D5" s="66" t="s">
        <v>15</v>
      </c>
      <c r="E5" s="6"/>
    </row>
    <row r="6" spans="1:21" x14ac:dyDescent="0.35">
      <c r="B6" s="27"/>
      <c r="E6" s="6"/>
    </row>
    <row r="7" spans="1:21" ht="22.5" customHeight="1" x14ac:dyDescent="0.55000000000000004">
      <c r="A7" s="57" t="s">
        <v>16</v>
      </c>
      <c r="B7" s="28">
        <f>Settings!K16</f>
        <v>99.48376736367679</v>
      </c>
      <c r="D7" s="40">
        <f>Settings!K16</f>
        <v>99.48376736367679</v>
      </c>
      <c r="E7" s="6"/>
    </row>
    <row r="8" spans="1:21" ht="22.5" customHeight="1" x14ac:dyDescent="0.35">
      <c r="A8" s="58" t="s">
        <v>120</v>
      </c>
      <c r="B8" s="36">
        <f>Settings!K28</f>
        <v>15.833333333333334</v>
      </c>
      <c r="C8" s="37"/>
      <c r="D8" s="38">
        <f>Settings!K29</f>
        <v>39.000000000000007</v>
      </c>
      <c r="E8" s="6"/>
    </row>
    <row r="9" spans="1:21" ht="22.5" customHeight="1" x14ac:dyDescent="0.55000000000000004">
      <c r="A9" s="57" t="s">
        <v>17</v>
      </c>
      <c r="B9" s="33">
        <f>Settings!K31</f>
        <v>0.42105263157894735</v>
      </c>
      <c r="D9" s="39">
        <f>Settings!K32</f>
        <v>0.26666666666666666</v>
      </c>
      <c r="E9" s="6"/>
    </row>
    <row r="12" spans="1:21" s="6" customFormat="1" ht="31" x14ac:dyDescent="0.35">
      <c r="A12" s="59" t="s">
        <v>14</v>
      </c>
      <c r="B12" s="45"/>
    </row>
    <row r="13" spans="1:21" ht="31" x14ac:dyDescent="0.7">
      <c r="B13" s="26"/>
      <c r="C13" s="26"/>
      <c r="D13" s="26"/>
      <c r="E13" s="15"/>
      <c r="F13" s="18"/>
      <c r="G13" s="14"/>
    </row>
    <row r="14" spans="1:21" ht="31" x14ac:dyDescent="0.7">
      <c r="B14" s="70" t="s">
        <v>153</v>
      </c>
      <c r="C14" s="26"/>
      <c r="D14" s="26"/>
    </row>
    <row r="15" spans="1:21" ht="32.25" customHeight="1" x14ac:dyDescent="0.7">
      <c r="B15" s="26"/>
      <c r="C15" s="26"/>
      <c r="D15" s="26"/>
    </row>
    <row r="16" spans="1:21" ht="22.5" customHeight="1" x14ac:dyDescent="0.35"/>
    <row r="17" spans="1:21" ht="22.5" customHeight="1" x14ac:dyDescent="0.35">
      <c r="K17" s="6"/>
      <c r="L17" s="6"/>
    </row>
    <row r="18" spans="1:21" ht="22.5" customHeight="1" x14ac:dyDescent="0.55000000000000004">
      <c r="A18" s="57" t="s">
        <v>155</v>
      </c>
      <c r="K18" s="6"/>
      <c r="L18" s="6"/>
    </row>
    <row r="19" spans="1:21" ht="22.5" customHeight="1" x14ac:dyDescent="0.55000000000000004">
      <c r="A19" s="21" t="s">
        <v>154</v>
      </c>
    </row>
    <row r="20" spans="1:21" ht="22.5" customHeight="1" x14ac:dyDescent="0.55000000000000004">
      <c r="A20" s="21" t="s">
        <v>156</v>
      </c>
      <c r="R20" s="180" t="s">
        <v>139</v>
      </c>
      <c r="S20" s="180"/>
      <c r="T20" s="180"/>
      <c r="U20" s="180"/>
    </row>
    <row r="21" spans="1:21" ht="22.5" customHeight="1" x14ac:dyDescent="0.35">
      <c r="R21" s="180"/>
      <c r="S21" s="180"/>
      <c r="T21" s="180"/>
      <c r="U21" s="180"/>
    </row>
    <row r="23" spans="1:21" ht="18.5" x14ac:dyDescent="0.45">
      <c r="A23" s="57" t="s">
        <v>110</v>
      </c>
    </row>
    <row r="24" spans="1:21" ht="18.5" x14ac:dyDescent="0.45">
      <c r="A24" s="57" t="s">
        <v>111</v>
      </c>
      <c r="C24" s="69" t="s">
        <v>133</v>
      </c>
    </row>
    <row r="25" spans="1:21" ht="18.5" x14ac:dyDescent="0.45">
      <c r="A25" s="177" t="s">
        <v>146</v>
      </c>
      <c r="B25" s="23"/>
      <c r="C25" s="23"/>
      <c r="D25" s="23"/>
      <c r="E25" s="23"/>
      <c r="F25" s="23"/>
      <c r="G25" s="178" t="s">
        <v>143</v>
      </c>
      <c r="H25" s="7"/>
    </row>
  </sheetData>
  <mergeCells count="1">
    <mergeCell ref="R20:U21"/>
  </mergeCells>
  <hyperlinks>
    <hyperlink ref="C24" r:id="rId1" xr:uid="{00000000-0004-0000-0400-000000000000}"/>
    <hyperlink ref="G25" r:id="rId2" xr:uid="{08E38CA0-5DC4-4D3D-B0FD-A7B7948C691E}"/>
  </hyperlinks>
  <pageMargins left="0.5" right="0.5" top="0.5" bottom="0.5" header="0.2" footer="0.2"/>
  <pageSetup scale="54" fitToHeight="0" orientation="landscape" r:id="rId3"/>
  <drawing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U25"/>
  <sheetViews>
    <sheetView showGridLines="0" showRowColHeaders="0" zoomScale="80" zoomScaleNormal="80" workbookViewId="0">
      <selection activeCell="F7" sqref="F7"/>
    </sheetView>
  </sheetViews>
  <sheetFormatPr defaultRowHeight="14.5" x14ac:dyDescent="0.35"/>
  <cols>
    <col min="1" max="1" width="40" style="56" customWidth="1"/>
    <col min="2" max="2" width="15" customWidth="1"/>
    <col min="3" max="3" width="2.90625" customWidth="1"/>
    <col min="4" max="4" width="22.90625" customWidth="1"/>
    <col min="5" max="5" width="7.08984375" customWidth="1"/>
    <col min="6" max="20" width="8.54296875" customWidth="1"/>
    <col min="21" max="21" width="8.54296875" style="6" customWidth="1"/>
    <col min="22" max="22" width="8.6328125" customWidth="1"/>
    <col min="23" max="23" width="8.54296875" customWidth="1"/>
  </cols>
  <sheetData>
    <row r="1" spans="1:21" s="22" customFormat="1" x14ac:dyDescent="0.35">
      <c r="A1" s="55"/>
      <c r="U1" s="44"/>
    </row>
    <row r="2" spans="1:21" s="22" customFormat="1" x14ac:dyDescent="0.35">
      <c r="A2" s="55"/>
      <c r="U2" s="44"/>
    </row>
    <row r="5" spans="1:21" ht="21" x14ac:dyDescent="0.5">
      <c r="B5" s="47" t="s">
        <v>13</v>
      </c>
      <c r="D5" s="66" t="s">
        <v>15</v>
      </c>
      <c r="E5" s="6"/>
    </row>
    <row r="6" spans="1:21" x14ac:dyDescent="0.35">
      <c r="B6" s="27"/>
      <c r="E6" s="6"/>
    </row>
    <row r="7" spans="1:21" ht="22.5" customHeight="1" x14ac:dyDescent="0.55000000000000004">
      <c r="A7" s="57" t="s">
        <v>16</v>
      </c>
      <c r="B7" s="28">
        <f>Settings!N23</f>
        <v>115.52953629330204</v>
      </c>
      <c r="D7" s="19">
        <f>Settings!N24</f>
        <v>310.38935417467155</v>
      </c>
      <c r="E7" s="6"/>
    </row>
    <row r="8" spans="1:21" ht="22.5" customHeight="1" x14ac:dyDescent="0.55000000000000004">
      <c r="A8" s="58" t="s">
        <v>120</v>
      </c>
      <c r="B8" s="34">
        <f>Settings!$N$28</f>
        <v>18.387096774193541</v>
      </c>
      <c r="D8" s="35">
        <f>Settings!$N$29</f>
        <v>49.399999999999984</v>
      </c>
      <c r="E8" s="6"/>
    </row>
    <row r="9" spans="1:21" ht="22.5" customHeight="1" x14ac:dyDescent="0.55000000000000004">
      <c r="A9" s="57" t="s">
        <v>17</v>
      </c>
      <c r="B9" s="33">
        <f>Settings!N31</f>
        <v>0.4210526315789474</v>
      </c>
      <c r="D9" s="39">
        <f>Settings!N32</f>
        <v>0.28070175438596495</v>
      </c>
      <c r="E9" s="6"/>
    </row>
    <row r="12" spans="1:21" s="6" customFormat="1" ht="31" x14ac:dyDescent="0.35">
      <c r="A12" s="59" t="s">
        <v>14</v>
      </c>
    </row>
    <row r="13" spans="1:21" ht="31" x14ac:dyDescent="0.7">
      <c r="B13" s="26"/>
    </row>
    <row r="14" spans="1:21" ht="32.25" customHeight="1" x14ac:dyDescent="0.7">
      <c r="B14" s="70" t="s">
        <v>157</v>
      </c>
    </row>
    <row r="15" spans="1:21" ht="32.25" customHeight="1" x14ac:dyDescent="0.7">
      <c r="B15" s="21" t="s">
        <v>130</v>
      </c>
    </row>
    <row r="16" spans="1:21" ht="22.5" customHeight="1" x14ac:dyDescent="0.35"/>
    <row r="17" spans="1:21" ht="22.5" customHeight="1" x14ac:dyDescent="0.35"/>
    <row r="18" spans="1:21" ht="22.5" customHeight="1" x14ac:dyDescent="0.55000000000000004">
      <c r="A18" s="57" t="s">
        <v>158</v>
      </c>
    </row>
    <row r="19" spans="1:21" ht="22.5" customHeight="1" x14ac:dyDescent="0.55000000000000004">
      <c r="A19" s="21" t="s">
        <v>154</v>
      </c>
    </row>
    <row r="20" spans="1:21" ht="22.5" customHeight="1" x14ac:dyDescent="0.55000000000000004">
      <c r="A20" s="21" t="s">
        <v>156</v>
      </c>
      <c r="H20" s="6"/>
      <c r="N20" s="5"/>
      <c r="R20" s="180" t="s">
        <v>144</v>
      </c>
      <c r="S20" s="180"/>
      <c r="T20" s="180"/>
      <c r="U20" s="180"/>
    </row>
    <row r="21" spans="1:21" ht="22.5" customHeight="1" x14ac:dyDescent="0.45">
      <c r="A21" s="57"/>
      <c r="H21" s="6"/>
      <c r="R21" s="180"/>
      <c r="S21" s="180"/>
      <c r="T21" s="180"/>
      <c r="U21" s="180"/>
    </row>
    <row r="23" spans="1:21" ht="18.5" x14ac:dyDescent="0.45">
      <c r="A23" s="57" t="s">
        <v>145</v>
      </c>
    </row>
    <row r="24" spans="1:21" ht="18.5" x14ac:dyDescent="0.45">
      <c r="A24" s="57" t="s">
        <v>111</v>
      </c>
      <c r="C24" s="69" t="s">
        <v>133</v>
      </c>
    </row>
    <row r="25" spans="1:21" ht="18.5" x14ac:dyDescent="0.45">
      <c r="A25" s="177" t="s">
        <v>146</v>
      </c>
      <c r="B25" s="23"/>
      <c r="C25" s="23"/>
      <c r="D25" s="23"/>
      <c r="E25" s="23"/>
      <c r="F25" s="23"/>
      <c r="G25" s="178" t="s">
        <v>143</v>
      </c>
      <c r="H25" s="23"/>
    </row>
  </sheetData>
  <mergeCells count="1">
    <mergeCell ref="R20:U21"/>
  </mergeCells>
  <hyperlinks>
    <hyperlink ref="C24" r:id="rId1" xr:uid="{00000000-0004-0000-0500-000000000000}"/>
    <hyperlink ref="G25" r:id="rId2" xr:uid="{C3196435-7906-40C3-92B2-FF61211CE0A3}"/>
  </hyperlinks>
  <pageMargins left="0.5" right="0.5" top="0.5" bottom="0.5" header="0.2" footer="0.2"/>
  <pageSetup scale="54" fitToHeight="0" orientation="landscape" r:id="rId3"/>
  <drawing r:id="rId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B1:I30"/>
  <sheetViews>
    <sheetView showGridLines="0" showRowColHeaders="0" topLeftCell="A19" zoomScale="80" zoomScaleNormal="80" workbookViewId="0">
      <selection activeCell="E8" sqref="E8"/>
    </sheetView>
  </sheetViews>
  <sheetFormatPr defaultRowHeight="14.5" x14ac:dyDescent="0.35"/>
  <cols>
    <col min="1" max="1" width="2" customWidth="1"/>
    <col min="2" max="2" width="18.90625" customWidth="1"/>
  </cols>
  <sheetData>
    <row r="1" spans="2:9" s="22" customFormat="1" x14ac:dyDescent="0.35"/>
    <row r="2" spans="2:9" s="22" customFormat="1" x14ac:dyDescent="0.35"/>
    <row r="5" spans="2:9" ht="18" customHeight="1" x14ac:dyDescent="0.35"/>
    <row r="6" spans="2:9" ht="23.5" x14ac:dyDescent="0.35">
      <c r="B6" s="67" t="s">
        <v>140</v>
      </c>
    </row>
    <row r="7" spans="2:9" ht="18.75" customHeight="1" x14ac:dyDescent="0.35">
      <c r="B7" s="41" t="s">
        <v>141</v>
      </c>
    </row>
    <row r="8" spans="2:9" ht="18.5" x14ac:dyDescent="0.35">
      <c r="B8" s="41" t="s">
        <v>80</v>
      </c>
    </row>
    <row r="9" spans="2:9" ht="18.5" x14ac:dyDescent="0.35">
      <c r="B9" s="41" t="s">
        <v>81</v>
      </c>
    </row>
    <row r="10" spans="2:9" ht="18.5" x14ac:dyDescent="0.35">
      <c r="B10" s="41" t="s">
        <v>82</v>
      </c>
    </row>
    <row r="11" spans="2:9" ht="18.5" x14ac:dyDescent="0.35">
      <c r="B11" s="41"/>
    </row>
    <row r="12" spans="2:9" ht="18.75" customHeight="1" x14ac:dyDescent="0.35">
      <c r="B12" s="41" t="s">
        <v>112</v>
      </c>
    </row>
    <row r="13" spans="2:9" ht="18.75" customHeight="1" x14ac:dyDescent="0.45">
      <c r="B13" s="41" t="s">
        <v>113</v>
      </c>
      <c r="I13" s="176" t="s">
        <v>133</v>
      </c>
    </row>
    <row r="15" spans="2:9" ht="23.5" x14ac:dyDescent="0.35">
      <c r="B15" s="67" t="s">
        <v>83</v>
      </c>
    </row>
    <row r="16" spans="2:9" ht="18.5" x14ac:dyDescent="0.35">
      <c r="B16" s="41" t="s">
        <v>84</v>
      </c>
    </row>
    <row r="17" spans="2:2" ht="18.5" x14ac:dyDescent="0.35">
      <c r="B17" s="41" t="s">
        <v>116</v>
      </c>
    </row>
    <row r="18" spans="2:2" ht="18.5" x14ac:dyDescent="0.35">
      <c r="B18" s="41" t="s">
        <v>124</v>
      </c>
    </row>
    <row r="19" spans="2:2" ht="18.5" x14ac:dyDescent="0.35">
      <c r="B19" s="41"/>
    </row>
    <row r="21" spans="2:2" ht="18.5" x14ac:dyDescent="0.35">
      <c r="B21" s="46" t="s">
        <v>152</v>
      </c>
    </row>
    <row r="22" spans="2:2" ht="18.5" x14ac:dyDescent="0.35">
      <c r="B22" s="46" t="s">
        <v>106</v>
      </c>
    </row>
    <row r="23" spans="2:2" ht="18.5" x14ac:dyDescent="0.35">
      <c r="B23" s="46" t="s">
        <v>134</v>
      </c>
    </row>
    <row r="24" spans="2:2" ht="18.5" x14ac:dyDescent="0.35">
      <c r="B24" s="46"/>
    </row>
    <row r="25" spans="2:2" ht="18.5" x14ac:dyDescent="0.35">
      <c r="B25" s="46" t="s">
        <v>135</v>
      </c>
    </row>
    <row r="26" spans="2:2" ht="18.5" x14ac:dyDescent="0.35">
      <c r="B26" s="46" t="s">
        <v>107</v>
      </c>
    </row>
    <row r="27" spans="2:2" ht="18.5" x14ac:dyDescent="0.35">
      <c r="B27" s="46"/>
    </row>
    <row r="28" spans="2:2" ht="18.5" x14ac:dyDescent="0.35">
      <c r="B28" s="46" t="s">
        <v>105</v>
      </c>
    </row>
    <row r="30" spans="2:2" ht="18.5" x14ac:dyDescent="0.35">
      <c r="B30" s="46" t="s">
        <v>151</v>
      </c>
    </row>
  </sheetData>
  <hyperlinks>
    <hyperlink ref="I13" r:id="rId1" xr:uid="{00000000-0004-0000-0600-000000000000}"/>
  </hyperlinks>
  <pageMargins left="0.5" right="0.5" top="0.5" bottom="0.5" header="0.2" footer="0.2"/>
  <pageSetup paperSize="9" scale="61" fitToHeight="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Settings</vt:lpstr>
      <vt:lpstr>MAIN PAGE</vt:lpstr>
      <vt:lpstr>Minimise Cost</vt:lpstr>
      <vt:lpstr>Reduce Process Time</vt:lpstr>
      <vt:lpstr>Minimise Cost - Result</vt:lpstr>
      <vt:lpstr>Reduce Process Time - Result</vt:lpstr>
      <vt:lpstr>Notes</vt:lpstr>
      <vt:lpstr>abc</vt:lpstr>
      <vt:lpstr>efg</vt:lpstr>
      <vt:lpstr>qr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Perceptive</dc:creator>
  <cp:lastModifiedBy>Gerard Gach</cp:lastModifiedBy>
  <cp:lastPrinted>2019-07-30T13:14:21Z</cp:lastPrinted>
  <dcterms:created xsi:type="dcterms:W3CDTF">2017-09-01T08:28:14Z</dcterms:created>
  <dcterms:modified xsi:type="dcterms:W3CDTF">2020-11-17T19:39:57Z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bddd431d-834e-4125-b9aa-1ccb7175e387</vt:lpwstr>
  </property>
</Properties>
</file>